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Data" sheetId="1" r:id="rId1"/>
    <sheet name="References" sheetId="2" r:id="rId2"/>
  </sheets>
  <externalReferences>
    <externalReference r:id="rId5"/>
  </externalReferences>
  <definedNames>
    <definedName name="Blackbody">'[1]References'!$Q$4:$Q$53</definedName>
    <definedName name="C_X">'Data'!$H$6</definedName>
    <definedName name="C_Y">'Data'!$I$6</definedName>
    <definedName name="C_Z">'Data'!$J$6</definedName>
    <definedName name="Custom_Illuminant">'Data'!$D$10:$D$59</definedName>
    <definedName name="D50_X">'[1]References'!$BH$21</definedName>
    <definedName name="D50_Y">'[1]References'!$BI$21</definedName>
    <definedName name="D50_Z">'[1]References'!$BJ$21</definedName>
    <definedName name="D65_X">'[1]References'!$BH$22</definedName>
    <definedName name="D65_Y">'[1]References'!$BI$22</definedName>
    <definedName name="D65_Z">'[1]References'!$BJ$22</definedName>
    <definedName name="Den_StatusA_B">'[1]References'!$AP$4:$AP$53</definedName>
    <definedName name="Den_StatusA_G">'[1]References'!$AO$4:$AO$53</definedName>
    <definedName name="Den_StatusA_R">'[1]References'!$AN$4:$AN$53</definedName>
    <definedName name="Den_StatusE_B">'[1]References'!$AS$4:$AS$53</definedName>
    <definedName name="Den_StatusE_G">'[1]References'!$AR$4:$AR$53</definedName>
    <definedName name="Den_StatusE_R">'[1]References'!$AQ$4:$AQ$53</definedName>
    <definedName name="Den_StatusM_B">'[1]References'!$AV$4:$AV$53</definedName>
    <definedName name="Den_StatusM_G">'[1]References'!$AU$4:$AU$53</definedName>
    <definedName name="Den_StatusM_R">'[1]References'!$AT$4:$AT$53</definedName>
    <definedName name="Den_StatusT_B">'[1]References'!$AY$4:$AY$53</definedName>
    <definedName name="Den_StatusT_G">'[1]References'!$AX$4:$AX$53</definedName>
    <definedName name="Den_StatusT_R">'[1]References'!$AW$4:$AW$53</definedName>
    <definedName name="Den_Type1">'[1]References'!$AL$4:$AL$53</definedName>
    <definedName name="Den_Type2">'[1]References'!$AM$4:$AM$53</definedName>
    <definedName name="Den_Visual">'[1]References'!$AK$4:$AK$53</definedName>
    <definedName name="E_X">'Data'!$H$8</definedName>
    <definedName name="E_Y">'Data'!$I$8</definedName>
    <definedName name="E_Z">'Data'!$J$8</definedName>
    <definedName name="epsilon">'[1]References'!$BE$39</definedName>
    <definedName name="Illuminant_A">'[1]References'!$I$4:$I$53</definedName>
    <definedName name="Illuminant_B">'[1]References'!$J$4:$J$53</definedName>
    <definedName name="Illuminant_C">'[1]References'!$K$4:$K$53</definedName>
    <definedName name="Illuminant_D">'[1]References'!$L$4:$L$53</definedName>
    <definedName name="Illuminant_E">'[1]References'!$M$4:$M$53</definedName>
    <definedName name="Illuminant_F11">'[1]References'!$P$4:$P$53</definedName>
    <definedName name="Illuminant_F2">'[1]References'!$N$4:$N$53</definedName>
    <definedName name="Illuminant_F7">'[1]References'!$O$4:$O$53</definedName>
    <definedName name="kappa">'[1]References'!$BE$40</definedName>
    <definedName name="Sample">'Data'!$C$10:$C$59</definedName>
    <definedName name="xObs10">'[1]References'!$F$4:$F$53</definedName>
    <definedName name="xObs2">'[1]References'!$C$4:$C$53</definedName>
    <definedName name="yObs10">'[1]References'!$G$4:$G$53</definedName>
    <definedName name="yObs2">'[1]References'!$D$4:$D$53</definedName>
    <definedName name="zObs10">'[1]References'!$H$4:$H$53</definedName>
    <definedName name="zObs2">'[1]References'!$E$4:$E$53</definedName>
  </definedNames>
  <calcPr fullCalcOnLoad="1"/>
</workbook>
</file>

<file path=xl/sharedStrings.xml><?xml version="1.0" encoding="utf-8"?>
<sst xmlns="http://schemas.openxmlformats.org/spreadsheetml/2006/main" count="357" uniqueCount="216">
  <si>
    <t>Wavelength</t>
  </si>
  <si>
    <t>Standard Observers</t>
  </si>
  <si>
    <t>Reference Illuminants</t>
  </si>
  <si>
    <t>D Illuminant Values</t>
  </si>
  <si>
    <t>Status A</t>
  </si>
  <si>
    <t>Status E</t>
  </si>
  <si>
    <t>Status M</t>
  </si>
  <si>
    <t>Status T</t>
  </si>
  <si>
    <t>Illuminant</t>
  </si>
  <si>
    <t>D Illuminant</t>
  </si>
  <si>
    <t>Working Space</t>
  </si>
  <si>
    <t>XYZ-to-RGB Matrix</t>
  </si>
  <si>
    <t>Gamma</t>
  </si>
  <si>
    <t>(nm)</t>
  </si>
  <si>
    <t>x2</t>
  </si>
  <si>
    <t>y2</t>
  </si>
  <si>
    <t>z2</t>
  </si>
  <si>
    <t>x10</t>
  </si>
  <si>
    <t>y10</t>
  </si>
  <si>
    <t>z10</t>
  </si>
  <si>
    <t>A</t>
  </si>
  <si>
    <t>B</t>
  </si>
  <si>
    <t>C</t>
  </si>
  <si>
    <t>D</t>
  </si>
  <si>
    <t>E</t>
  </si>
  <si>
    <t>F2</t>
  </si>
  <si>
    <t>F7</t>
  </si>
  <si>
    <t>F11</t>
  </si>
  <si>
    <t>Blackbody</t>
  </si>
  <si>
    <t>s0</t>
  </si>
  <si>
    <t>s1</t>
  </si>
  <si>
    <t>s2</t>
  </si>
  <si>
    <t>Visual</t>
  </si>
  <si>
    <t>Type 1</t>
  </si>
  <si>
    <t>Type 2</t>
  </si>
  <si>
    <t>Red</t>
  </si>
  <si>
    <t>Green</t>
  </si>
  <si>
    <t>Blue</t>
  </si>
  <si>
    <t>D50</t>
  </si>
  <si>
    <t>D65</t>
  </si>
  <si>
    <t>itemp</t>
  </si>
  <si>
    <t>Adobe RGB (1998)</t>
  </si>
  <si>
    <t>xx</t>
  </si>
  <si>
    <t>Apple RGB</t>
  </si>
  <si>
    <t>yy</t>
  </si>
  <si>
    <t>Best RGB</t>
  </si>
  <si>
    <t>den</t>
  </si>
  <si>
    <t>Beta RGB</t>
  </si>
  <si>
    <t>m1</t>
  </si>
  <si>
    <t>Bruce RGB</t>
  </si>
  <si>
    <t>m2</t>
  </si>
  <si>
    <t>CIE RGB</t>
  </si>
  <si>
    <t>ColorMatch RGB</t>
  </si>
  <si>
    <t>Don RGB 4</t>
  </si>
  <si>
    <t>e</t>
  </si>
  <si>
    <t>ECI RGB</t>
  </si>
  <si>
    <t>c1</t>
  </si>
  <si>
    <t>Ekta Space PS5 RGB</t>
  </si>
  <si>
    <t>c2</t>
  </si>
  <si>
    <t>NTSC RGB</t>
  </si>
  <si>
    <t>m560</t>
  </si>
  <si>
    <t>PAL/SECAM RGB</t>
  </si>
  <si>
    <t>ProPhoto RGB</t>
  </si>
  <si>
    <t>Illuminant A</t>
  </si>
  <si>
    <t>SMPTE-C RGB</t>
  </si>
  <si>
    <t>temp</t>
  </si>
  <si>
    <t>sRGB</t>
  </si>
  <si>
    <t>Wide Gamut RGB</t>
  </si>
  <si>
    <t>D50 Illuminant</t>
  </si>
  <si>
    <t>X</t>
  </si>
  <si>
    <t>Y</t>
  </si>
  <si>
    <t>Z</t>
  </si>
  <si>
    <t>D65 Illuminant</t>
  </si>
  <si>
    <t>Y &lt;-&gt; L</t>
  </si>
  <si>
    <t>epsilon</t>
  </si>
  <si>
    <t>kappa</t>
  </si>
  <si>
    <t>Correlated Color</t>
  </si>
  <si>
    <t>Observer</t>
  </si>
  <si>
    <t>x</t>
  </si>
  <si>
    <t>y</t>
  </si>
  <si>
    <t>L</t>
  </si>
  <si>
    <t>a</t>
  </si>
  <si>
    <t>b</t>
  </si>
  <si>
    <t>C(ab)</t>
  </si>
  <si>
    <t>H(ab)</t>
  </si>
  <si>
    <t>u</t>
  </si>
  <si>
    <t>v</t>
  </si>
  <si>
    <t>C(uv)</t>
  </si>
  <si>
    <t>H(uv)</t>
  </si>
  <si>
    <t>xr</t>
  </si>
  <si>
    <t>yr</t>
  </si>
  <si>
    <t>zr</t>
  </si>
  <si>
    <t>fx</t>
  </si>
  <si>
    <t>fy</t>
  </si>
  <si>
    <t>fz</t>
  </si>
  <si>
    <t>Xr</t>
  </si>
  <si>
    <t>Yr</t>
  </si>
  <si>
    <t>Zr</t>
  </si>
  <si>
    <t>up</t>
  </si>
  <si>
    <t>vp</t>
  </si>
  <si>
    <t>upr</t>
  </si>
  <si>
    <t>vpr</t>
  </si>
  <si>
    <t>Temperature</t>
  </si>
  <si>
    <t>2-Degree</t>
  </si>
  <si>
    <t>Sample</t>
  </si>
  <si>
    <t>Custom</t>
  </si>
  <si>
    <t>Spectrum</t>
  </si>
  <si>
    <t>10-Degree</t>
  </si>
  <si>
    <t>Working</t>
  </si>
  <si>
    <t>Reference</t>
  </si>
  <si>
    <t>Range = [0.0, 1.0]</t>
  </si>
  <si>
    <t>Range = [0, 255]</t>
  </si>
  <si>
    <t>Linear</t>
  </si>
  <si>
    <t>Space</t>
  </si>
  <si>
    <t>red</t>
  </si>
  <si>
    <t>green</t>
  </si>
  <si>
    <t>blue</t>
  </si>
  <si>
    <t>ECI RGB v2</t>
  </si>
  <si>
    <t>Density</t>
  </si>
  <si>
    <t>-</t>
  </si>
  <si>
    <t>=References!$Q$4:$Q$53</t>
  </si>
  <si>
    <t>Blackbody_Temperature</t>
  </si>
  <si>
    <t>=Data!$C$6</t>
  </si>
  <si>
    <t>C_X</t>
  </si>
  <si>
    <t>=Data!$H$6</t>
  </si>
  <si>
    <t>C_Y</t>
  </si>
  <si>
    <t>=Data!$I$6</t>
  </si>
  <si>
    <t>C_Z</t>
  </si>
  <si>
    <t>=Data!$J$6</t>
  </si>
  <si>
    <t>Custom_Illuminant</t>
  </si>
  <si>
    <t>=Data!$D$10:$D$59</t>
  </si>
  <si>
    <t>D50_X</t>
  </si>
  <si>
    <t>=References!$BH$21</t>
  </si>
  <si>
    <t>D50_Y</t>
  </si>
  <si>
    <t>=References!$BI$21</t>
  </si>
  <si>
    <t>D50_Z</t>
  </si>
  <si>
    <t>=References!$BJ$21</t>
  </si>
  <si>
    <t>D65_X</t>
  </si>
  <si>
    <t>=References!$BH$22</t>
  </si>
  <si>
    <t>D65_Y</t>
  </si>
  <si>
    <t>=References!$BI$22</t>
  </si>
  <si>
    <t>D65_Z</t>
  </si>
  <si>
    <t>=References!$BJ$22</t>
  </si>
  <si>
    <t>Den_StatusA_B</t>
  </si>
  <si>
    <t>=References!$AP$4:$AP$53</t>
  </si>
  <si>
    <t>Den_StatusA_G</t>
  </si>
  <si>
    <t>=References!$AO$4:$AO$53</t>
  </si>
  <si>
    <t>Den_StatusA_R</t>
  </si>
  <si>
    <t>=References!$AN$4:$AN$53</t>
  </si>
  <si>
    <t>Den_StatusE_B</t>
  </si>
  <si>
    <t>=References!$AS$4:$AS$53</t>
  </si>
  <si>
    <t>Den_StatusE_G</t>
  </si>
  <si>
    <t>=References!$AR$4:$AR$53</t>
  </si>
  <si>
    <t>Den_StatusE_R</t>
  </si>
  <si>
    <t>=References!$AQ$4:$AQ$53</t>
  </si>
  <si>
    <t>Den_StatusM_B</t>
  </si>
  <si>
    <t>=References!$AV$4:$AV$53</t>
  </si>
  <si>
    <t>Den_StatusM_G</t>
  </si>
  <si>
    <t>=References!$AU$4:$AU$53</t>
  </si>
  <si>
    <t>Den_StatusM_R</t>
  </si>
  <si>
    <t>=References!$AT$4:$AT$53</t>
  </si>
  <si>
    <t>Den_StatusT_B</t>
  </si>
  <si>
    <t>=References!$AY$4:$AY$53</t>
  </si>
  <si>
    <t>Den_StatusT_G</t>
  </si>
  <si>
    <t>=References!$AX$4:$AX$53</t>
  </si>
  <si>
    <t>Den_StatusT_R</t>
  </si>
  <si>
    <t>=References!$AW$4:$AW$53</t>
  </si>
  <si>
    <t>Den_Type1</t>
  </si>
  <si>
    <t>=References!$AL$4:$AL$53</t>
  </si>
  <si>
    <t>Den_Type2</t>
  </si>
  <si>
    <t>=References!$AM$4:$AM$53</t>
  </si>
  <si>
    <t>Den_Visual</t>
  </si>
  <si>
    <t>=References!$AK$4:$AK$53</t>
  </si>
  <si>
    <t>E_X</t>
  </si>
  <si>
    <t>=Data!$H$8</t>
  </si>
  <si>
    <t>E_Y</t>
  </si>
  <si>
    <t>=Data!$I$8</t>
  </si>
  <si>
    <t>E_Z</t>
  </si>
  <si>
    <t>=Data!$J$8</t>
  </si>
  <si>
    <t>=References!$BE$39</t>
  </si>
  <si>
    <t>Illuminant_A</t>
  </si>
  <si>
    <t>=References!$I$4:$I$53</t>
  </si>
  <si>
    <t>Illuminant_B</t>
  </si>
  <si>
    <t>=References!$J$4:$J$53</t>
  </si>
  <si>
    <t>Illuminant_C</t>
  </si>
  <si>
    <t>=References!$K$4:$K$53</t>
  </si>
  <si>
    <t>Illuminant_D</t>
  </si>
  <si>
    <t>=References!$L$4:$L$53</t>
  </si>
  <si>
    <t>Illuminant_D_Temperature</t>
  </si>
  <si>
    <t>=Data!$C$5</t>
  </si>
  <si>
    <t>Illuminant_D50</t>
  </si>
  <si>
    <t>=References!$BA$4:$BA$53</t>
  </si>
  <si>
    <t>Illuminant_D65</t>
  </si>
  <si>
    <t>=References!$BB$4:$BB$53</t>
  </si>
  <si>
    <t>Illuminant_E</t>
  </si>
  <si>
    <t>=References!$M$4:$M$53</t>
  </si>
  <si>
    <t>Illuminant_F11</t>
  </si>
  <si>
    <t>=References!$P$4:$P$53</t>
  </si>
  <si>
    <t>Illuminant_F2</t>
  </si>
  <si>
    <t>=References!$N$4:$N$53</t>
  </si>
  <si>
    <t>Illuminant_F7</t>
  </si>
  <si>
    <t>=References!$O$4:$O$53</t>
  </si>
  <si>
    <t>=References!$BE$40</t>
  </si>
  <si>
    <t>=Data!$C$10:$C$59</t>
  </si>
  <si>
    <t>xObs10</t>
  </si>
  <si>
    <t>=References!$F$4:$F$53</t>
  </si>
  <si>
    <t>xObs2</t>
  </si>
  <si>
    <t>=References!$C$4:$C$53</t>
  </si>
  <si>
    <t>yObs10</t>
  </si>
  <si>
    <t>=References!$G$4:$G$53</t>
  </si>
  <si>
    <t>yObs2</t>
  </si>
  <si>
    <t>=References!$D$4:$D$53</t>
  </si>
  <si>
    <t>zObs10</t>
  </si>
  <si>
    <t>=References!$H$4:$H$53</t>
  </si>
  <si>
    <t>zObs2</t>
  </si>
  <si>
    <t>=References!$E$4:$E$53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</si>
</sst>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0"/>
    <numFmt numFmtId="165" formatCode="0.00000"/>
    <numFmt numFmtId="166" formatCode="0.000000"/>
    <numFmt numFmtId="167" formatCode="0.000"/>
    <numFmt numFmtId="168" formatCode="0.0000000"/>
    <numFmt numFmtId="169" formatCode="0.0000"/>
  </numFmts>
  <fonts count="4">
    <font>
      <sz val="10"/>
      <name val="Arial Cyr"/>
      <family val="0"/>
    </font>
    <font>
      <b/>
      <sz val="9"/>
      <name val="Geneva"/>
      <family val="0"/>
    </font>
    <font>
      <sz val="9"/>
      <name val="Geneva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164" fontId="1" fillId="2" borderId="2" xfId="0" applyNumberFormat="1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/>
      <protection hidden="1"/>
    </xf>
    <xf numFmtId="165" fontId="1" fillId="2" borderId="2" xfId="0" applyNumberFormat="1" applyFont="1" applyFill="1" applyBorder="1" applyAlignment="1" applyProtection="1">
      <alignment horizontal="center"/>
      <protection hidden="1"/>
    </xf>
    <xf numFmtId="165" fontId="1" fillId="2" borderId="3" xfId="0" applyNumberFormat="1" applyFont="1" applyFill="1" applyBorder="1" applyAlignment="1" applyProtection="1">
      <alignment horizontal="center"/>
      <protection hidden="1"/>
    </xf>
    <xf numFmtId="165" fontId="1" fillId="2" borderId="4" xfId="0" applyNumberFormat="1" applyFont="1" applyFill="1" applyBorder="1" applyAlignment="1" applyProtection="1">
      <alignment horizontal="center"/>
      <protection hidden="1"/>
    </xf>
    <xf numFmtId="2" fontId="1" fillId="2" borderId="2" xfId="0" applyNumberFormat="1" applyFont="1" applyFill="1" applyBorder="1" applyAlignment="1" applyProtection="1">
      <alignment horizontal="center"/>
      <protection hidden="1"/>
    </xf>
    <xf numFmtId="2" fontId="1" fillId="2" borderId="3" xfId="0" applyNumberFormat="1" applyFont="1" applyFill="1" applyBorder="1" applyAlignment="1" applyProtection="1">
      <alignment horizontal="center"/>
      <protection hidden="1"/>
    </xf>
    <xf numFmtId="2" fontId="1" fillId="2" borderId="1" xfId="0" applyNumberFormat="1" applyFont="1" applyFill="1" applyBorder="1" applyAlignment="1" applyProtection="1">
      <alignment horizontal="center"/>
      <protection hidden="1"/>
    </xf>
    <xf numFmtId="2" fontId="1" fillId="2" borderId="5" xfId="0" applyNumberFormat="1" applyFont="1" applyFill="1" applyBorder="1" applyAlignment="1" applyProtection="1">
      <alignment horizontal="center"/>
      <protection hidden="1"/>
    </xf>
    <xf numFmtId="2" fontId="1" fillId="2" borderId="6" xfId="0" applyNumberFormat="1" applyFont="1" applyFill="1" applyBorder="1" applyAlignment="1" applyProtection="1">
      <alignment horizontal="center"/>
      <protection hidden="1"/>
    </xf>
    <xf numFmtId="2" fontId="1" fillId="2" borderId="7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2" borderId="8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164" fontId="1" fillId="2" borderId="15" xfId="0" applyNumberFormat="1" applyFont="1" applyFill="1" applyBorder="1" applyAlignment="1" applyProtection="1">
      <alignment horizontal="center"/>
      <protection hidden="1"/>
    </xf>
    <xf numFmtId="164" fontId="1" fillId="2" borderId="16" xfId="0" applyNumberFormat="1" applyFont="1" applyFill="1" applyBorder="1" applyAlignment="1" applyProtection="1">
      <alignment horizontal="center"/>
      <protection hidden="1"/>
    </xf>
    <xf numFmtId="164" fontId="1" fillId="2" borderId="17" xfId="0" applyNumberFormat="1" applyFont="1" applyFill="1" applyBorder="1" applyAlignment="1" applyProtection="1">
      <alignment horizontal="center"/>
      <protection hidden="1"/>
    </xf>
    <xf numFmtId="164" fontId="1" fillId="2" borderId="18" xfId="0" applyNumberFormat="1" applyFont="1" applyFill="1" applyBorder="1" applyAlignment="1" applyProtection="1">
      <alignment horizontal="center"/>
      <protection hidden="1"/>
    </xf>
    <xf numFmtId="165" fontId="1" fillId="2" borderId="17" xfId="0" applyNumberFormat="1" applyFont="1" applyFill="1" applyBorder="1" applyAlignment="1" applyProtection="1">
      <alignment horizontal="center"/>
      <protection hidden="1"/>
    </xf>
    <xf numFmtId="2" fontId="1" fillId="2" borderId="16" xfId="0" applyNumberFormat="1" applyFont="1" applyFill="1" applyBorder="1" applyAlignment="1" applyProtection="1">
      <alignment horizontal="center"/>
      <protection hidden="1"/>
    </xf>
    <xf numFmtId="2" fontId="1" fillId="2" borderId="17" xfId="0" applyNumberFormat="1" applyFont="1" applyFill="1" applyBorder="1" applyAlignment="1" applyProtection="1">
      <alignment horizontal="center"/>
      <protection hidden="1"/>
    </xf>
    <xf numFmtId="2" fontId="1" fillId="2" borderId="15" xfId="0" applyNumberFormat="1" applyFont="1" applyFill="1" applyBorder="1" applyAlignment="1" applyProtection="1">
      <alignment horizontal="center"/>
      <protection hidden="1"/>
    </xf>
    <xf numFmtId="2" fontId="1" fillId="2" borderId="14" xfId="0" applyNumberFormat="1" applyFont="1" applyFill="1" applyBorder="1" applyAlignment="1" applyProtection="1">
      <alignment horizontal="center"/>
      <protection hidden="1"/>
    </xf>
    <xf numFmtId="2" fontId="1" fillId="2" borderId="19" xfId="0" applyNumberFormat="1" applyFont="1" applyFill="1" applyBorder="1" applyAlignment="1" applyProtection="1">
      <alignment horizontal="center"/>
      <protection hidden="1"/>
    </xf>
    <xf numFmtId="2" fontId="1" fillId="2" borderId="20" xfId="0" applyNumberFormat="1" applyFont="1" applyFill="1" applyBorder="1" applyAlignment="1" applyProtection="1">
      <alignment horizontal="center"/>
      <protection hidden="1"/>
    </xf>
    <xf numFmtId="2" fontId="1" fillId="2" borderId="21" xfId="0" applyNumberFormat="1" applyFont="1" applyFill="1" applyBorder="1" applyAlignment="1" applyProtection="1">
      <alignment horizontal="center"/>
      <protection hidden="1"/>
    </xf>
    <xf numFmtId="2" fontId="1" fillId="2" borderId="2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2" fillId="0" borderId="25" xfId="0" applyFont="1" applyBorder="1" applyAlignment="1" applyProtection="1">
      <alignment horizontal="left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164" fontId="2" fillId="0" borderId="27" xfId="0" applyNumberFormat="1" applyFont="1" applyFill="1" applyBorder="1" applyAlignment="1" applyProtection="1">
      <alignment horizontal="center"/>
      <protection hidden="1"/>
    </xf>
    <xf numFmtId="164" fontId="2" fillId="0" borderId="28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64" fontId="2" fillId="0" borderId="5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2" fontId="2" fillId="0" borderId="28" xfId="0" applyNumberFormat="1" applyFont="1" applyFill="1" applyBorder="1" applyAlignment="1" applyProtection="1">
      <alignment horizontal="right"/>
      <protection hidden="1"/>
    </xf>
    <xf numFmtId="2" fontId="0" fillId="0" borderId="28" xfId="0" applyNumberFormat="1" applyBorder="1" applyAlignment="1" applyProtection="1">
      <alignment/>
      <protection hidden="1"/>
    </xf>
    <xf numFmtId="2" fontId="2" fillId="0" borderId="5" xfId="0" applyNumberFormat="1" applyFont="1" applyFill="1" applyBorder="1" applyAlignment="1" applyProtection="1">
      <alignment horizontal="right"/>
      <protection hidden="1"/>
    </xf>
    <xf numFmtId="167" fontId="2" fillId="0" borderId="23" xfId="0" applyNumberFormat="1" applyFont="1" applyFill="1" applyBorder="1" applyAlignment="1" applyProtection="1">
      <alignment horizontal="right"/>
      <protection hidden="1"/>
    </xf>
    <xf numFmtId="167" fontId="2" fillId="0" borderId="28" xfId="0" applyNumberFormat="1" applyFont="1" applyFill="1" applyBorder="1" applyAlignment="1" applyProtection="1">
      <alignment horizontal="right"/>
      <protection hidden="1"/>
    </xf>
    <xf numFmtId="167" fontId="2" fillId="0" borderId="0" xfId="0" applyNumberFormat="1" applyFont="1" applyFill="1" applyBorder="1" applyAlignment="1" applyProtection="1">
      <alignment horizontal="right"/>
      <protection hidden="1"/>
    </xf>
    <xf numFmtId="167" fontId="0" fillId="0" borderId="28" xfId="0" applyNumberFormat="1" applyBorder="1" applyAlignment="1" applyProtection="1">
      <alignment/>
      <protection hidden="1"/>
    </xf>
    <xf numFmtId="167" fontId="0" fillId="0" borderId="0" xfId="0" applyNumberFormat="1" applyBorder="1" applyAlignment="1" applyProtection="1">
      <alignment/>
      <protection hidden="1"/>
    </xf>
    <xf numFmtId="167" fontId="2" fillId="0" borderId="24" xfId="0" applyNumberFormat="1" applyFont="1" applyFill="1" applyBorder="1" applyAlignment="1" applyProtection="1">
      <alignment horizontal="right"/>
      <protection hidden="1"/>
    </xf>
    <xf numFmtId="2" fontId="2" fillId="0" borderId="23" xfId="0" applyNumberFormat="1" applyFont="1" applyFill="1" applyBorder="1" applyAlignment="1" applyProtection="1">
      <alignment horizontal="right"/>
      <protection hidden="1"/>
    </xf>
    <xf numFmtId="2" fontId="2" fillId="0" borderId="24" xfId="0" applyNumberFormat="1" applyFont="1" applyFill="1" applyBorder="1" applyAlignment="1" applyProtection="1">
      <alignment horizontal="right"/>
      <protection hidden="1"/>
    </xf>
    <xf numFmtId="2" fontId="0" fillId="0" borderId="25" xfId="0" applyNumberFormat="1" applyBorder="1" applyAlignment="1" applyProtection="1">
      <alignment/>
      <protection hidden="1"/>
    </xf>
    <xf numFmtId="2" fontId="0" fillId="0" borderId="26" xfId="0" applyNumberFormat="1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164" fontId="0" fillId="0" borderId="28" xfId="0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167" fontId="0" fillId="0" borderId="24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164" fontId="0" fillId="0" borderId="30" xfId="0" applyNumberFormat="1" applyBorder="1" applyAlignment="1" applyProtection="1">
      <alignment/>
      <protection hidden="1"/>
    </xf>
    <xf numFmtId="164" fontId="0" fillId="0" borderId="31" xfId="0" applyNumberFormat="1" applyBorder="1" applyAlignment="1" applyProtection="1">
      <alignment/>
      <protection hidden="1"/>
    </xf>
    <xf numFmtId="2" fontId="2" fillId="0" borderId="31" xfId="0" applyNumberFormat="1" applyFont="1" applyFill="1" applyBorder="1" applyAlignment="1" applyProtection="1">
      <alignment horizontal="right"/>
      <protection hidden="1"/>
    </xf>
    <xf numFmtId="2" fontId="0" fillId="0" borderId="30" xfId="0" applyNumberFormat="1" applyBorder="1" applyAlignment="1" applyProtection="1">
      <alignment/>
      <protection hidden="1"/>
    </xf>
    <xf numFmtId="2" fontId="0" fillId="0" borderId="31" xfId="0" applyNumberFormat="1" applyBorder="1" applyAlignment="1" applyProtection="1">
      <alignment/>
      <protection hidden="1"/>
    </xf>
    <xf numFmtId="2" fontId="2" fillId="0" borderId="30" xfId="0" applyNumberFormat="1" applyFont="1" applyFill="1" applyBorder="1" applyAlignment="1" applyProtection="1">
      <alignment horizontal="right"/>
      <protection hidden="1"/>
    </xf>
    <xf numFmtId="167" fontId="2" fillId="0" borderId="29" xfId="0" applyNumberFormat="1" applyFont="1" applyFill="1" applyBorder="1" applyAlignment="1" applyProtection="1">
      <alignment horizontal="right"/>
      <protection hidden="1"/>
    </xf>
    <xf numFmtId="167" fontId="0" fillId="0" borderId="30" xfId="0" applyNumberFormat="1" applyBorder="1" applyAlignment="1" applyProtection="1">
      <alignment/>
      <protection hidden="1"/>
    </xf>
    <xf numFmtId="167" fontId="0" fillId="0" borderId="31" xfId="0" applyNumberFormat="1" applyBorder="1" applyAlignment="1" applyProtection="1">
      <alignment/>
      <protection hidden="1"/>
    </xf>
    <xf numFmtId="167" fontId="0" fillId="0" borderId="32" xfId="0" applyNumberFormat="1" applyBorder="1" applyAlignment="1" applyProtection="1">
      <alignment/>
      <protection hidden="1"/>
    </xf>
    <xf numFmtId="2" fontId="2" fillId="0" borderId="29" xfId="0" applyNumberFormat="1" applyFont="1" applyFill="1" applyBorder="1" applyAlignment="1" applyProtection="1">
      <alignment horizontal="right"/>
      <protection hidden="1"/>
    </xf>
    <xf numFmtId="2" fontId="2" fillId="0" borderId="32" xfId="0" applyNumberFormat="1" applyFont="1" applyFill="1" applyBorder="1" applyAlignment="1" applyProtection="1">
      <alignment horizontal="right"/>
      <protection hidden="1"/>
    </xf>
    <xf numFmtId="2" fontId="0" fillId="0" borderId="33" xfId="0" applyNumberFormat="1" applyBorder="1" applyAlignment="1" applyProtection="1">
      <alignment/>
      <protection hidden="1"/>
    </xf>
    <xf numFmtId="2" fontId="0" fillId="0" borderId="34" xfId="0" applyNumberFormat="1" applyBorder="1" applyAlignment="1" applyProtection="1">
      <alignment/>
      <protection hidden="1"/>
    </xf>
    <xf numFmtId="167" fontId="0" fillId="0" borderId="23" xfId="0" applyNumberFormat="1" applyBorder="1" applyAlignment="1" applyProtection="1">
      <alignment/>
      <protection hidden="1"/>
    </xf>
    <xf numFmtId="11" fontId="0" fillId="0" borderId="24" xfId="0" applyNumberFormat="1" applyBorder="1" applyAlignment="1" applyProtection="1">
      <alignment/>
      <protection hidden="1"/>
    </xf>
    <xf numFmtId="11" fontId="0" fillId="0" borderId="20" xfId="0" applyNumberFormat="1" applyBorder="1" applyAlignment="1" applyProtection="1">
      <alignment/>
      <protection hidden="1"/>
    </xf>
    <xf numFmtId="0" fontId="2" fillId="0" borderId="35" xfId="0" applyFont="1" applyBorder="1" applyAlignment="1" applyProtection="1">
      <alignment horizontal="left"/>
      <protection hidden="1"/>
    </xf>
    <xf numFmtId="166" fontId="0" fillId="0" borderId="17" xfId="0" applyNumberForma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167" fontId="0" fillId="0" borderId="29" xfId="0" applyNumberFormat="1" applyBorder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/>
      <protection hidden="1"/>
    </xf>
    <xf numFmtId="168" fontId="0" fillId="0" borderId="24" xfId="0" applyNumberFormat="1" applyBorder="1" applyAlignment="1" applyProtection="1">
      <alignment/>
      <protection hidden="1"/>
    </xf>
    <xf numFmtId="0" fontId="0" fillId="0" borderId="35" xfId="0" applyBorder="1" applyAlignment="1" applyProtection="1">
      <alignment horizontal="center"/>
      <protection hidden="1"/>
    </xf>
    <xf numFmtId="168" fontId="0" fillId="0" borderId="17" xfId="0" applyNumberFormat="1" applyBorder="1" applyAlignment="1" applyProtection="1">
      <alignment/>
      <protection hidden="1"/>
    </xf>
    <xf numFmtId="168" fontId="0" fillId="0" borderId="20" xfId="0" applyNumberFormat="1" applyBorder="1" applyAlignment="1" applyProtection="1">
      <alignment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164" fontId="0" fillId="0" borderId="19" xfId="0" applyNumberFormat="1" applyBorder="1" applyAlignment="1" applyProtection="1">
      <alignment/>
      <protection hidden="1"/>
    </xf>
    <xf numFmtId="164" fontId="0" fillId="0" borderId="17" xfId="0" applyNumberFormat="1" applyBorder="1" applyAlignment="1" applyProtection="1">
      <alignment/>
      <protection hidden="1"/>
    </xf>
    <xf numFmtId="2" fontId="2" fillId="0" borderId="19" xfId="0" applyNumberFormat="1" applyFont="1" applyFill="1" applyBorder="1" applyAlignment="1" applyProtection="1">
      <alignment horizontal="right"/>
      <protection hidden="1"/>
    </xf>
    <xf numFmtId="2" fontId="0" fillId="0" borderId="19" xfId="0" applyNumberFormat="1" applyBorder="1" applyAlignment="1" applyProtection="1">
      <alignment/>
      <protection hidden="1"/>
    </xf>
    <xf numFmtId="2" fontId="0" fillId="0" borderId="17" xfId="0" applyNumberFormat="1" applyBorder="1" applyAlignment="1" applyProtection="1">
      <alignment/>
      <protection hidden="1"/>
    </xf>
    <xf numFmtId="167" fontId="0" fillId="0" borderId="14" xfId="0" applyNumberFormat="1" applyBorder="1" applyAlignment="1" applyProtection="1">
      <alignment/>
      <protection hidden="1"/>
    </xf>
    <xf numFmtId="167" fontId="0" fillId="0" borderId="19" xfId="0" applyNumberFormat="1" applyBorder="1" applyAlignment="1" applyProtection="1">
      <alignment/>
      <protection hidden="1"/>
    </xf>
    <xf numFmtId="167" fontId="0" fillId="0" borderId="17" xfId="0" applyNumberFormat="1" applyBorder="1" applyAlignment="1" applyProtection="1">
      <alignment/>
      <protection hidden="1"/>
    </xf>
    <xf numFmtId="167" fontId="0" fillId="0" borderId="20" xfId="0" applyNumberFormat="1" applyBorder="1" applyAlignment="1" applyProtection="1">
      <alignment/>
      <protection hidden="1"/>
    </xf>
    <xf numFmtId="2" fontId="2" fillId="0" borderId="14" xfId="0" applyNumberFormat="1" applyFont="1" applyFill="1" applyBorder="1" applyAlignment="1" applyProtection="1">
      <alignment horizontal="right"/>
      <protection hidden="1"/>
    </xf>
    <xf numFmtId="2" fontId="2" fillId="0" borderId="17" xfId="0" applyNumberFormat="1" applyFont="1" applyFill="1" applyBorder="1" applyAlignment="1" applyProtection="1">
      <alignment horizontal="right"/>
      <protection hidden="1"/>
    </xf>
    <xf numFmtId="2" fontId="2" fillId="0" borderId="20" xfId="0" applyNumberFormat="1" applyFont="1" applyFill="1" applyBorder="1" applyAlignment="1" applyProtection="1">
      <alignment horizontal="right"/>
      <protection hidden="1"/>
    </xf>
    <xf numFmtId="2" fontId="0" fillId="0" borderId="35" xfId="0" applyNumberFormat="1" applyBorder="1" applyAlignment="1" applyProtection="1">
      <alignment/>
      <protection hidden="1"/>
    </xf>
    <xf numFmtId="2" fontId="0" fillId="0" borderId="36" xfId="0" applyNumberFormat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0" fillId="0" borderId="23" xfId="0" applyNumberFormat="1" applyBorder="1" applyAlignment="1" applyProtection="1">
      <alignment horizontal="center"/>
      <protection hidden="1"/>
    </xf>
    <xf numFmtId="169" fontId="0" fillId="0" borderId="28" xfId="0" applyNumberForma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164" fontId="0" fillId="0" borderId="23" xfId="0" applyNumberFormat="1" applyBorder="1" applyAlignment="1" applyProtection="1">
      <alignment/>
      <protection hidden="1"/>
    </xf>
    <xf numFmtId="164" fontId="0" fillId="0" borderId="28" xfId="0" applyNumberFormat="1" applyBorder="1" applyAlignment="1" applyProtection="1">
      <alignment horizontal="center"/>
      <protection hidden="1"/>
    </xf>
    <xf numFmtId="169" fontId="0" fillId="0" borderId="29" xfId="0" applyNumberFormat="1" applyBorder="1" applyAlignment="1" applyProtection="1">
      <alignment horizontal="center"/>
      <protection hidden="1"/>
    </xf>
    <xf numFmtId="169" fontId="0" fillId="0" borderId="30" xfId="0" applyNumberFormat="1" applyBorder="1" applyAlignment="1" applyProtection="1">
      <alignment horizontal="center"/>
      <protection hidden="1"/>
    </xf>
    <xf numFmtId="169" fontId="0" fillId="0" borderId="14" xfId="0" applyNumberFormat="1" applyBorder="1" applyAlignment="1" applyProtection="1">
      <alignment horizontal="center"/>
      <protection hidden="1"/>
    </xf>
    <xf numFmtId="169" fontId="0" fillId="0" borderId="19" xfId="0" applyNumberForma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164" fontId="1" fillId="2" borderId="41" xfId="0" applyNumberFormat="1" applyFont="1" applyFill="1" applyBorder="1" applyAlignment="1" applyProtection="1">
      <alignment horizontal="center"/>
      <protection hidden="1"/>
    </xf>
    <xf numFmtId="164" fontId="1" fillId="2" borderId="5" xfId="0" applyNumberFormat="1" applyFont="1" applyFill="1" applyBorder="1" applyAlignment="1" applyProtection="1">
      <alignment horizontal="center"/>
      <protection hidden="1"/>
    </xf>
    <xf numFmtId="164" fontId="1" fillId="2" borderId="4" xfId="0" applyNumberFormat="1" applyFont="1" applyFill="1" applyBorder="1" applyAlignment="1" applyProtection="1">
      <alignment horizontal="center"/>
      <protection hidden="1"/>
    </xf>
    <xf numFmtId="165" fontId="1" fillId="2" borderId="7" xfId="0" applyNumberFormat="1" applyFont="1" applyFill="1" applyBorder="1" applyAlignment="1" applyProtection="1">
      <alignment horizontal="center"/>
      <protection hidden="1"/>
    </xf>
    <xf numFmtId="164" fontId="1" fillId="2" borderId="14" xfId="0" applyNumberFormat="1" applyFont="1" applyFill="1" applyBorder="1" applyAlignment="1" applyProtection="1">
      <alignment horizontal="center"/>
      <protection hidden="1"/>
    </xf>
    <xf numFmtId="164" fontId="1" fillId="2" borderId="42" xfId="0" applyNumberFormat="1" applyFont="1" applyFill="1" applyBorder="1" applyAlignment="1" applyProtection="1">
      <alignment horizontal="center"/>
      <protection hidden="1"/>
    </xf>
    <xf numFmtId="164" fontId="1" fillId="2" borderId="19" xfId="0" applyNumberFormat="1" applyFont="1" applyFill="1" applyBorder="1" applyAlignment="1" applyProtection="1">
      <alignment horizontal="center"/>
      <protection hidden="1"/>
    </xf>
    <xf numFmtId="165" fontId="1" fillId="2" borderId="15" xfId="0" applyNumberFormat="1" applyFont="1" applyFill="1" applyBorder="1" applyAlignment="1" applyProtection="1">
      <alignment horizontal="center"/>
      <protection hidden="1"/>
    </xf>
    <xf numFmtId="165" fontId="1" fillId="2" borderId="16" xfId="0" applyNumberFormat="1" applyFont="1" applyFill="1" applyBorder="1" applyAlignment="1" applyProtection="1">
      <alignment horizontal="center"/>
      <protection hidden="1"/>
    </xf>
    <xf numFmtId="164" fontId="0" fillId="0" borderId="23" xfId="0" applyNumberFormat="1" applyBorder="1" applyAlignment="1" applyProtection="1">
      <alignment horizontal="left"/>
      <protection hidden="1"/>
    </xf>
    <xf numFmtId="164" fontId="0" fillId="0" borderId="29" xfId="0" applyNumberFormat="1" applyBorder="1" applyAlignment="1" applyProtection="1">
      <alignment horizontal="left"/>
      <protection hidden="1"/>
    </xf>
    <xf numFmtId="164" fontId="0" fillId="0" borderId="30" xfId="0" applyNumberForma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 horizontal="center"/>
      <protection hidden="1"/>
    </xf>
    <xf numFmtId="164" fontId="1" fillId="2" borderId="9" xfId="0" applyNumberFormat="1" applyFont="1" applyFill="1" applyBorder="1" applyAlignment="1" applyProtection="1">
      <alignment horizontal="center"/>
      <protection hidden="1"/>
    </xf>
    <xf numFmtId="164" fontId="1" fillId="2" borderId="37" xfId="0" applyNumberFormat="1" applyFont="1" applyFill="1" applyBorder="1" applyAlignment="1" applyProtection="1">
      <alignment horizontal="center"/>
      <protection hidden="1"/>
    </xf>
    <xf numFmtId="164" fontId="1" fillId="2" borderId="12" xfId="0" applyNumberFormat="1" applyFont="1" applyFill="1" applyBorder="1" applyAlignment="1" applyProtection="1">
      <alignment horizontal="center"/>
      <protection hidden="1"/>
    </xf>
    <xf numFmtId="164" fontId="1" fillId="2" borderId="10" xfId="0" applyNumberFormat="1" applyFont="1" applyFill="1" applyBorder="1" applyAlignment="1" applyProtection="1">
      <alignment horizontal="center"/>
      <protection hidden="1"/>
    </xf>
    <xf numFmtId="164" fontId="0" fillId="0" borderId="23" xfId="0" applyNumberFormat="1" applyBorder="1" applyAlignment="1" applyProtection="1">
      <alignment horizontal="center"/>
      <protection hidden="1"/>
    </xf>
    <xf numFmtId="167" fontId="0" fillId="0" borderId="24" xfId="0" applyNumberFormat="1" applyBorder="1" applyAlignment="1" applyProtection="1">
      <alignment horizontal="center"/>
      <protection hidden="1"/>
    </xf>
    <xf numFmtId="167" fontId="0" fillId="0" borderId="28" xfId="0" applyNumberFormat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7" fontId="0" fillId="0" borderId="19" xfId="0" applyNumberFormat="1" applyBorder="1" applyAlignment="1" applyProtection="1">
      <alignment horizontal="center"/>
      <protection hidden="1"/>
    </xf>
    <xf numFmtId="167" fontId="0" fillId="0" borderId="17" xfId="0" applyNumberFormat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 locked="0"/>
    </xf>
    <xf numFmtId="0" fontId="0" fillId="3" borderId="20" xfId="0" applyFill="1" applyBorder="1" applyAlignment="1" applyProtection="1">
      <alignment horizontal="center"/>
      <protection hidden="1" locked="0"/>
    </xf>
    <xf numFmtId="169" fontId="2" fillId="3" borderId="28" xfId="0" applyNumberFormat="1" applyFont="1" applyFill="1" applyBorder="1" applyAlignment="1" applyProtection="1">
      <alignment horizontal="center"/>
      <protection hidden="1" locked="0"/>
    </xf>
    <xf numFmtId="169" fontId="2" fillId="3" borderId="24" xfId="0" applyNumberFormat="1" applyFont="1" applyFill="1" applyBorder="1" applyAlignment="1" applyProtection="1">
      <alignment horizontal="center"/>
      <protection hidden="1" locked="0"/>
    </xf>
    <xf numFmtId="169" fontId="0" fillId="3" borderId="28" xfId="0" applyNumberFormat="1" applyFill="1" applyBorder="1" applyAlignment="1" applyProtection="1">
      <alignment horizontal="center"/>
      <protection hidden="1" locked="0"/>
    </xf>
    <xf numFmtId="169" fontId="0" fillId="3" borderId="24" xfId="0" applyNumberFormat="1" applyFill="1" applyBorder="1" applyAlignment="1" applyProtection="1">
      <alignment horizontal="center"/>
      <protection hidden="1" locked="0"/>
    </xf>
    <xf numFmtId="169" fontId="0" fillId="3" borderId="30" xfId="0" applyNumberFormat="1" applyFill="1" applyBorder="1" applyAlignment="1" applyProtection="1">
      <alignment horizontal="center"/>
      <protection hidden="1" locked="0"/>
    </xf>
    <xf numFmtId="169" fontId="0" fillId="3" borderId="32" xfId="0" applyNumberFormat="1" applyFill="1" applyBorder="1" applyAlignment="1" applyProtection="1">
      <alignment horizontal="center"/>
      <protection hidden="1" locked="0"/>
    </xf>
    <xf numFmtId="169" fontId="0" fillId="3" borderId="19" xfId="0" applyNumberFormat="1" applyFill="1" applyBorder="1" applyAlignment="1" applyProtection="1">
      <alignment horizontal="center"/>
      <protection hidden="1" locked="0"/>
    </xf>
    <xf numFmtId="169" fontId="0" fillId="3" borderId="20" xfId="0" applyNumberFormat="1" applyFill="1" applyBorder="1" applyAlignment="1" applyProtection="1">
      <alignment horizontal="center"/>
      <protection hidden="1" locked="0"/>
    </xf>
    <xf numFmtId="169" fontId="0" fillId="4" borderId="0" xfId="0" applyNumberFormat="1" applyFill="1" applyBorder="1" applyAlignment="1" applyProtection="1">
      <alignment horizontal="center"/>
      <protection hidden="1"/>
    </xf>
    <xf numFmtId="169" fontId="0" fillId="4" borderId="28" xfId="0" applyNumberFormat="1" applyFill="1" applyBorder="1" applyAlignment="1" applyProtection="1">
      <alignment horizontal="center"/>
      <protection hidden="1"/>
    </xf>
    <xf numFmtId="2" fontId="0" fillId="4" borderId="28" xfId="0" applyNumberFormat="1" applyFill="1" applyBorder="1" applyAlignment="1" applyProtection="1">
      <alignment horizontal="center"/>
      <protection hidden="1"/>
    </xf>
    <xf numFmtId="2" fontId="0" fillId="4" borderId="0" xfId="0" applyNumberFormat="1" applyFill="1" applyBorder="1" applyAlignment="1" applyProtection="1">
      <alignment horizontal="center"/>
      <protection hidden="1"/>
    </xf>
    <xf numFmtId="2" fontId="0" fillId="4" borderId="24" xfId="0" applyNumberFormat="1" applyFill="1" applyBorder="1" applyAlignment="1" applyProtection="1">
      <alignment horizontal="center"/>
      <protection hidden="1"/>
    </xf>
    <xf numFmtId="169" fontId="0" fillId="4" borderId="43" xfId="0" applyNumberFormat="1" applyFill="1" applyBorder="1" applyAlignment="1" applyProtection="1">
      <alignment horizontal="center"/>
      <protection hidden="1"/>
    </xf>
    <xf numFmtId="169" fontId="0" fillId="4" borderId="30" xfId="0" applyNumberFormat="1" applyFill="1" applyBorder="1" applyAlignment="1" applyProtection="1">
      <alignment horizontal="center"/>
      <protection hidden="1"/>
    </xf>
    <xf numFmtId="169" fontId="0" fillId="4" borderId="31" xfId="0" applyNumberFormat="1" applyFill="1" applyBorder="1" applyAlignment="1" applyProtection="1">
      <alignment horizontal="center"/>
      <protection hidden="1"/>
    </xf>
    <xf numFmtId="169" fontId="0" fillId="4" borderId="44" xfId="0" applyNumberFormat="1" applyFill="1" applyBorder="1" applyAlignment="1" applyProtection="1">
      <alignment horizontal="center"/>
      <protection hidden="1"/>
    </xf>
    <xf numFmtId="2" fontId="0" fillId="4" borderId="30" xfId="0" applyNumberFormat="1" applyFill="1" applyBorder="1" applyAlignment="1" applyProtection="1">
      <alignment horizontal="center"/>
      <protection hidden="1"/>
    </xf>
    <xf numFmtId="2" fontId="0" fillId="4" borderId="31" xfId="0" applyNumberFormat="1" applyFill="1" applyBorder="1" applyAlignment="1" applyProtection="1">
      <alignment horizontal="center"/>
      <protection hidden="1"/>
    </xf>
    <xf numFmtId="2" fontId="0" fillId="4" borderId="32" xfId="0" applyNumberFormat="1" applyFill="1" applyBorder="1" applyAlignment="1" applyProtection="1">
      <alignment horizontal="center"/>
      <protection hidden="1"/>
    </xf>
    <xf numFmtId="169" fontId="0" fillId="4" borderId="15" xfId="0" applyNumberFormat="1" applyFill="1" applyBorder="1" applyAlignment="1" applyProtection="1">
      <alignment horizontal="center"/>
      <protection hidden="1"/>
    </xf>
    <xf numFmtId="169" fontId="0" fillId="4" borderId="19" xfId="0" applyNumberFormat="1" applyFill="1" applyBorder="1" applyAlignment="1" applyProtection="1">
      <alignment horizontal="center"/>
      <protection hidden="1"/>
    </xf>
    <xf numFmtId="169" fontId="0" fillId="4" borderId="17" xfId="0" applyNumberFormat="1" applyFill="1" applyBorder="1" applyAlignment="1" applyProtection="1">
      <alignment horizontal="center"/>
      <protection hidden="1"/>
    </xf>
    <xf numFmtId="169" fontId="0" fillId="4" borderId="42" xfId="0" applyNumberFormat="1" applyFill="1" applyBorder="1" applyAlignment="1" applyProtection="1">
      <alignment horizontal="center"/>
      <protection hidden="1"/>
    </xf>
    <xf numFmtId="2" fontId="0" fillId="4" borderId="19" xfId="0" applyNumberFormat="1" applyFill="1" applyBorder="1" applyAlignment="1" applyProtection="1">
      <alignment horizontal="center"/>
      <protection hidden="1"/>
    </xf>
    <xf numFmtId="2" fontId="0" fillId="4" borderId="42" xfId="0" applyNumberFormat="1" applyFill="1" applyBorder="1" applyAlignment="1" applyProtection="1">
      <alignment horizontal="center"/>
      <protection hidden="1"/>
    </xf>
    <xf numFmtId="2" fontId="0" fillId="4" borderId="17" xfId="0" applyNumberFormat="1" applyFill="1" applyBorder="1" applyAlignment="1" applyProtection="1">
      <alignment horizontal="center"/>
      <protection hidden="1"/>
    </xf>
    <xf numFmtId="2" fontId="0" fillId="4" borderId="20" xfId="0" applyNumberFormat="1" applyFill="1" applyBorder="1" applyAlignment="1" applyProtection="1">
      <alignment horizontal="center"/>
      <protection hidden="1"/>
    </xf>
    <xf numFmtId="169" fontId="0" fillId="4" borderId="27" xfId="0" applyNumberFormat="1" applyFill="1" applyBorder="1" applyAlignment="1" applyProtection="1">
      <alignment horizontal="center"/>
      <protection hidden="1"/>
    </xf>
    <xf numFmtId="1" fontId="0" fillId="4" borderId="27" xfId="0" applyNumberFormat="1" applyFill="1" applyBorder="1" applyAlignment="1" applyProtection="1">
      <alignment horizontal="center"/>
      <protection hidden="1"/>
    </xf>
    <xf numFmtId="1" fontId="0" fillId="4" borderId="26" xfId="0" applyNumberFormat="1" applyFill="1" applyBorder="1" applyAlignment="1" applyProtection="1">
      <alignment horizontal="center"/>
      <protection hidden="1"/>
    </xf>
    <xf numFmtId="1" fontId="0" fillId="4" borderId="43" xfId="0" applyNumberFormat="1" applyFill="1" applyBorder="1" applyAlignment="1" applyProtection="1">
      <alignment horizontal="center"/>
      <protection hidden="1"/>
    </xf>
    <xf numFmtId="1" fontId="0" fillId="4" borderId="34" xfId="0" applyNumberFormat="1" applyFill="1" applyBorder="1" applyAlignment="1" applyProtection="1">
      <alignment horizontal="center"/>
      <protection hidden="1"/>
    </xf>
    <xf numFmtId="1" fontId="0" fillId="4" borderId="15" xfId="0" applyNumberFormat="1" applyFill="1" applyBorder="1" applyAlignment="1" applyProtection="1">
      <alignment horizontal="center"/>
      <protection hidden="1"/>
    </xf>
    <xf numFmtId="1" fontId="0" fillId="4" borderId="36" xfId="0" applyNumberFormat="1" applyFill="1" applyBorder="1" applyAlignment="1" applyProtection="1">
      <alignment horizontal="center"/>
      <protection hidden="1"/>
    </xf>
    <xf numFmtId="167" fontId="0" fillId="4" borderId="28" xfId="0" applyNumberFormat="1" applyFill="1" applyBorder="1" applyAlignment="1" applyProtection="1">
      <alignment horizontal="center"/>
      <protection hidden="1"/>
    </xf>
    <xf numFmtId="167" fontId="0" fillId="4" borderId="0" xfId="0" applyNumberFormat="1" applyFill="1" applyBorder="1" applyAlignment="1" applyProtection="1">
      <alignment horizontal="center"/>
      <protection hidden="1"/>
    </xf>
    <xf numFmtId="167" fontId="0" fillId="4" borderId="24" xfId="0" applyNumberFormat="1" applyFill="1" applyBorder="1" applyAlignment="1" applyProtection="1">
      <alignment horizontal="center"/>
      <protection hidden="1"/>
    </xf>
    <xf numFmtId="167" fontId="0" fillId="4" borderId="20" xfId="0" applyNumberFormat="1" applyFill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ectralCalculator10n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ferences"/>
    </sheetNames>
    <sheetDataSet>
      <sheetData sheetId="1">
        <row r="3">
          <cell r="BH3">
            <v>2.04148</v>
          </cell>
          <cell r="BI3">
            <v>-0.969258</v>
          </cell>
          <cell r="BJ3">
            <v>0.0134455</v>
          </cell>
          <cell r="BK3">
            <v>-0.564977</v>
          </cell>
          <cell r="BL3">
            <v>1.87599</v>
          </cell>
          <cell r="BM3">
            <v>-0.118373</v>
          </cell>
          <cell r="BN3">
            <v>-0.344713</v>
          </cell>
          <cell r="BO3">
            <v>0.0415557</v>
          </cell>
          <cell r="BP3">
            <v>1.01527</v>
          </cell>
          <cell r="BQ3">
            <v>2.2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3.593239778976573</v>
          </cell>
          <cell r="J4">
            <v>2.4</v>
          </cell>
          <cell r="K4">
            <v>2.7</v>
          </cell>
          <cell r="L4">
            <v>17.923592506196155</v>
          </cell>
          <cell r="M4">
            <v>100</v>
          </cell>
          <cell r="N4">
            <v>0</v>
          </cell>
          <cell r="O4">
            <v>0</v>
          </cell>
          <cell r="P4">
            <v>0</v>
          </cell>
          <cell r="Q4">
            <v>43.359586478134105</v>
          </cell>
          <cell r="AK4">
            <v>1E-13</v>
          </cell>
          <cell r="AL4">
            <v>1E-13</v>
          </cell>
          <cell r="AM4">
            <v>0.01</v>
          </cell>
          <cell r="AN4">
            <v>2.3334580622807993E-71</v>
          </cell>
          <cell r="AO4">
            <v>2.8183829312644357E-37</v>
          </cell>
          <cell r="AP4">
            <v>1.59220872705115E-30</v>
          </cell>
          <cell r="AQ4">
            <v>0.001</v>
          </cell>
          <cell r="AR4">
            <v>1E-13</v>
          </cell>
          <cell r="AS4">
            <v>1E-13</v>
          </cell>
          <cell r="AT4">
            <v>2.037042077705594E-74</v>
          </cell>
          <cell r="AU4">
            <v>2.355049283895979E-16</v>
          </cell>
          <cell r="AV4">
            <v>4.008667176273014E-19</v>
          </cell>
          <cell r="AW4">
            <v>1E-13</v>
          </cell>
          <cell r="AX4">
            <v>1E-13</v>
          </cell>
          <cell r="AY4">
            <v>1E-13</v>
          </cell>
          <cell r="BH4">
            <v>2.95176</v>
          </cell>
          <cell r="BI4">
            <v>-1.0851</v>
          </cell>
          <cell r="BJ4">
            <v>0.0854804</v>
          </cell>
          <cell r="BK4">
            <v>-1.28951</v>
          </cell>
          <cell r="BL4">
            <v>1.99084</v>
          </cell>
          <cell r="BM4">
            <v>-0.269456</v>
          </cell>
          <cell r="BN4">
            <v>-0.47388</v>
          </cell>
          <cell r="BO4">
            <v>0.0372023</v>
          </cell>
          <cell r="BP4">
            <v>1.09113</v>
          </cell>
          <cell r="BQ4">
            <v>1.8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4.7467417713279945</v>
          </cell>
          <cell r="J5">
            <v>5.6</v>
          </cell>
          <cell r="K5">
            <v>7</v>
          </cell>
          <cell r="L5">
            <v>20.979846897095964</v>
          </cell>
          <cell r="M5">
            <v>100</v>
          </cell>
          <cell r="N5">
            <v>0</v>
          </cell>
          <cell r="O5">
            <v>0</v>
          </cell>
          <cell r="P5">
            <v>0</v>
          </cell>
          <cell r="Q5">
            <v>47.773001361604436</v>
          </cell>
          <cell r="AK5">
            <v>1E-13</v>
          </cell>
          <cell r="AL5">
            <v>1E-13</v>
          </cell>
          <cell r="AM5">
            <v>0.5105049999754069</v>
          </cell>
          <cell r="AN5">
            <v>1.169499391019772E-68</v>
          </cell>
          <cell r="AO5">
            <v>4.466835921509636E-35</v>
          </cell>
          <cell r="AP5">
            <v>1.0046157902783888E-26</v>
          </cell>
          <cell r="AQ5">
            <v>0.001</v>
          </cell>
          <cell r="AR5">
            <v>1E-13</v>
          </cell>
          <cell r="AS5">
            <v>1E-13</v>
          </cell>
          <cell r="AT5">
            <v>8.109610578537944E-72</v>
          </cell>
          <cell r="AU5">
            <v>2.7039583641088197E-15</v>
          </cell>
          <cell r="AV5">
            <v>1.2676518658578423E-16</v>
          </cell>
          <cell r="AW5">
            <v>1E-13</v>
          </cell>
          <cell r="AX5">
            <v>1E-13</v>
          </cell>
          <cell r="AY5">
            <v>0.01</v>
          </cell>
          <cell r="BH5">
            <v>1.75526</v>
          </cell>
          <cell r="BI5">
            <v>-0.544134</v>
          </cell>
          <cell r="BJ5">
            <v>0.00634681</v>
          </cell>
          <cell r="BK5">
            <v>-0.483679</v>
          </cell>
          <cell r="BL5">
            <v>1.50688</v>
          </cell>
          <cell r="BM5">
            <v>-0.0175762</v>
          </cell>
          <cell r="BN5">
            <v>-0.253</v>
          </cell>
          <cell r="BO5">
            <v>0.0215528</v>
          </cell>
          <cell r="BP5">
            <v>1.2257</v>
          </cell>
          <cell r="BQ5">
            <v>2.2</v>
          </cell>
        </row>
        <row r="6">
          <cell r="C6">
            <v>0.0001299</v>
          </cell>
          <cell r="D6">
            <v>3.917E-06</v>
          </cell>
          <cell r="E6">
            <v>0.0006061</v>
          </cell>
          <cell r="F6">
            <v>1.222E-07</v>
          </cell>
          <cell r="G6">
            <v>1.3398E-08</v>
          </cell>
          <cell r="H6">
            <v>5.35027E-07</v>
          </cell>
          <cell r="I6">
            <v>6.1498459798273215</v>
          </cell>
          <cell r="J6">
            <v>9.6</v>
          </cell>
          <cell r="K6">
            <v>12.9</v>
          </cell>
          <cell r="L6">
            <v>23.911555254874607</v>
          </cell>
          <cell r="M6">
            <v>100</v>
          </cell>
          <cell r="N6">
            <v>0</v>
          </cell>
          <cell r="O6">
            <v>0</v>
          </cell>
          <cell r="P6">
            <v>0</v>
          </cell>
          <cell r="Q6">
            <v>52.14633904116821</v>
          </cell>
          <cell r="AK6">
            <v>1E-13</v>
          </cell>
          <cell r="AL6">
            <v>0.01</v>
          </cell>
          <cell r="AM6">
            <v>19.054607179632505</v>
          </cell>
          <cell r="AN6">
            <v>5.861381645139807E-66</v>
          </cell>
          <cell r="AO6">
            <v>7.079457843841439E-33</v>
          </cell>
          <cell r="AP6">
            <v>6.338697112569224E-23</v>
          </cell>
          <cell r="AQ6">
            <v>0.001</v>
          </cell>
          <cell r="AR6">
            <v>1E-13</v>
          </cell>
          <cell r="AS6">
            <v>1E-13</v>
          </cell>
          <cell r="AT6">
            <v>3.22849412171237E-69</v>
          </cell>
          <cell r="AU6">
            <v>3.10455958812833E-14</v>
          </cell>
          <cell r="AV6">
            <v>4.008667176273022E-14</v>
          </cell>
          <cell r="AW6">
            <v>1E-13</v>
          </cell>
          <cell r="AX6">
            <v>1E-13</v>
          </cell>
          <cell r="AY6">
            <v>0.019998618696327446</v>
          </cell>
          <cell r="BH6">
            <v>1.68323</v>
          </cell>
          <cell r="BI6">
            <v>-0.771023</v>
          </cell>
          <cell r="BJ6">
            <v>0.0400012</v>
          </cell>
          <cell r="BK6">
            <v>-0.428236</v>
          </cell>
          <cell r="BL6">
            <v>1.70656</v>
          </cell>
          <cell r="BM6">
            <v>-0.0885376</v>
          </cell>
          <cell r="BN6">
            <v>-0.236018</v>
          </cell>
          <cell r="BO6">
            <v>0.0446899</v>
          </cell>
          <cell r="BP6">
            <v>1.27236</v>
          </cell>
          <cell r="BQ6">
            <v>2.2</v>
          </cell>
        </row>
        <row r="7">
          <cell r="C7">
            <v>0.0004149</v>
          </cell>
          <cell r="D7">
            <v>1.239E-05</v>
          </cell>
          <cell r="E7">
            <v>0.001946</v>
          </cell>
          <cell r="F7">
            <v>5.9586E-06</v>
          </cell>
          <cell r="G7">
            <v>6.511E-07</v>
          </cell>
          <cell r="H7">
            <v>2.61437E-05</v>
          </cell>
          <cell r="I7">
            <v>7.82750035752819</v>
          </cell>
          <cell r="J7">
            <v>15.2</v>
          </cell>
          <cell r="K7">
            <v>21.4</v>
          </cell>
          <cell r="L7">
            <v>25.887218728378915</v>
          </cell>
          <cell r="M7">
            <v>100</v>
          </cell>
          <cell r="N7">
            <v>0</v>
          </cell>
          <cell r="O7">
            <v>0</v>
          </cell>
          <cell r="P7">
            <v>0</v>
          </cell>
          <cell r="Q7">
            <v>56.43979612069311</v>
          </cell>
          <cell r="AK7">
            <v>1E-13</v>
          </cell>
          <cell r="AL7">
            <v>0.04365158322401661</v>
          </cell>
          <cell r="AM7">
            <v>38.2824743316823</v>
          </cell>
          <cell r="AN7">
            <v>2.937649651961298E-63</v>
          </cell>
          <cell r="AO7">
            <v>1.1220184543019653E-30</v>
          </cell>
          <cell r="AP7">
            <v>3.999447497610972E-19</v>
          </cell>
          <cell r="AQ7">
            <v>0.001</v>
          </cell>
          <cell r="AR7">
            <v>1E-13</v>
          </cell>
          <cell r="AS7">
            <v>0.01</v>
          </cell>
          <cell r="AT7">
            <v>1.2852866599435146E-66</v>
          </cell>
          <cell r="AU7">
            <v>3.5645113342624147E-13</v>
          </cell>
          <cell r="AV7">
            <v>1.2676518658578448E-11</v>
          </cell>
          <cell r="AW7">
            <v>1E-13</v>
          </cell>
          <cell r="AX7">
            <v>1E-13</v>
          </cell>
          <cell r="AY7">
            <v>0.1</v>
          </cell>
          <cell r="BH7">
            <v>2.74566</v>
          </cell>
          <cell r="BI7">
            <v>-0.969257</v>
          </cell>
          <cell r="BJ7">
            <v>0.0112707</v>
          </cell>
          <cell r="BK7">
            <v>-1.13589</v>
          </cell>
          <cell r="BL7">
            <v>1.87599</v>
          </cell>
          <cell r="BM7">
            <v>-0.113959</v>
          </cell>
          <cell r="BN7">
            <v>-0.435057</v>
          </cell>
          <cell r="BO7">
            <v>0.0415557</v>
          </cell>
          <cell r="BP7">
            <v>1.01311</v>
          </cell>
          <cell r="BQ7">
            <v>2.2</v>
          </cell>
        </row>
        <row r="8">
          <cell r="C8">
            <v>0.001368</v>
          </cell>
          <cell r="D8">
            <v>3.9E-05</v>
          </cell>
          <cell r="E8">
            <v>0.006450001</v>
          </cell>
          <cell r="F8">
            <v>0.000159952</v>
          </cell>
          <cell r="G8">
            <v>1.7364E-05</v>
          </cell>
          <cell r="H8">
            <v>0.000704776</v>
          </cell>
          <cell r="I8">
            <v>9.802204944797378</v>
          </cell>
          <cell r="J8">
            <v>22.4</v>
          </cell>
          <cell r="K8">
            <v>33</v>
          </cell>
          <cell r="L8">
            <v>24.447871310171788</v>
          </cell>
          <cell r="M8">
            <v>100</v>
          </cell>
          <cell r="N8">
            <v>1.18</v>
          </cell>
          <cell r="O8">
            <v>2.56</v>
          </cell>
          <cell r="P8">
            <v>0.91</v>
          </cell>
          <cell r="Q8">
            <v>60.61802253647251</v>
          </cell>
          <cell r="AK8">
            <v>1E-13</v>
          </cell>
          <cell r="AL8">
            <v>0.7244359600749902</v>
          </cell>
          <cell r="AM8">
            <v>57.54399373371573</v>
          </cell>
          <cell r="AN8">
            <v>1.4723125024326058E-60</v>
          </cell>
          <cell r="AO8">
            <v>1.7782794100389263E-28</v>
          </cell>
          <cell r="AP8">
            <v>2.5234807724805707E-15</v>
          </cell>
          <cell r="AQ8">
            <v>0.001</v>
          </cell>
          <cell r="AR8">
            <v>1E-13</v>
          </cell>
          <cell r="AS8">
            <v>0.26977394324449216</v>
          </cell>
          <cell r="AT8">
            <v>5.116818355402694E-64</v>
          </cell>
          <cell r="AU8">
            <v>4.0926065973000796E-12</v>
          </cell>
          <cell r="AV8">
            <v>4.0086671762730234E-09</v>
          </cell>
          <cell r="AW8">
            <v>1E-13</v>
          </cell>
          <cell r="AX8">
            <v>1E-13</v>
          </cell>
          <cell r="AY8">
            <v>0.2999162518987651</v>
          </cell>
          <cell r="BH8">
            <v>2.37067</v>
          </cell>
          <cell r="BI8">
            <v>-0.513885</v>
          </cell>
          <cell r="BJ8">
            <v>0.00529818</v>
          </cell>
          <cell r="BK8">
            <v>-0.90004</v>
          </cell>
          <cell r="BL8">
            <v>1.4253</v>
          </cell>
          <cell r="BM8">
            <v>-0.0146949</v>
          </cell>
          <cell r="BN8">
            <v>-0.470634</v>
          </cell>
          <cell r="BO8">
            <v>0.0885814</v>
          </cell>
          <cell r="BP8">
            <v>1.0094</v>
          </cell>
          <cell r="BQ8">
            <v>2.2</v>
          </cell>
        </row>
        <row r="9">
          <cell r="C9">
            <v>0.004243</v>
          </cell>
          <cell r="D9">
            <v>0.00012</v>
          </cell>
          <cell r="E9">
            <v>0.02005001</v>
          </cell>
          <cell r="F9">
            <v>0.0023616</v>
          </cell>
          <cell r="G9">
            <v>0.0002534</v>
          </cell>
          <cell r="H9">
            <v>0.0104822</v>
          </cell>
          <cell r="I9">
            <v>12.093412306095258</v>
          </cell>
          <cell r="J9">
            <v>31.3</v>
          </cell>
          <cell r="K9">
            <v>47.4</v>
          </cell>
          <cell r="L9">
            <v>29.828847832386526</v>
          </cell>
          <cell r="M9">
            <v>100</v>
          </cell>
          <cell r="N9">
            <v>1.84</v>
          </cell>
          <cell r="O9">
            <v>3.84</v>
          </cell>
          <cell r="P9">
            <v>0.46</v>
          </cell>
          <cell r="Q9">
            <v>64.65033346435456</v>
          </cell>
          <cell r="AK9">
            <v>1E-13</v>
          </cell>
          <cell r="AL9">
            <v>28.840315031266062</v>
          </cell>
          <cell r="AM9">
            <v>70.95777679633892</v>
          </cell>
          <cell r="AN9">
            <v>7.379042301290568E-58</v>
          </cell>
          <cell r="AO9">
            <v>2.81838293126446E-26</v>
          </cell>
          <cell r="AP9">
            <v>1.5922087270511665E-11</v>
          </cell>
          <cell r="AQ9">
            <v>0.001</v>
          </cell>
          <cell r="AR9">
            <v>1E-13</v>
          </cell>
          <cell r="AS9">
            <v>2.6977394324449224</v>
          </cell>
          <cell r="AT9">
            <v>2.0370420777055728E-61</v>
          </cell>
          <cell r="AU9">
            <v>4.6989410860521387E-11</v>
          </cell>
          <cell r="AV9">
            <v>1.267651865857845E-06</v>
          </cell>
          <cell r="AW9">
            <v>1E-13</v>
          </cell>
          <cell r="AX9">
            <v>1E-13</v>
          </cell>
          <cell r="AY9">
            <v>1.4996848355023757</v>
          </cell>
          <cell r="BH9">
            <v>2.64229</v>
          </cell>
          <cell r="BI9">
            <v>-1.11198</v>
          </cell>
          <cell r="BJ9">
            <v>0.0821698</v>
          </cell>
          <cell r="BK9">
            <v>-1.22343</v>
          </cell>
          <cell r="BL9">
            <v>2.05902</v>
          </cell>
          <cell r="BM9">
            <v>-0.280725</v>
          </cell>
          <cell r="BN9">
            <v>-0.393014</v>
          </cell>
          <cell r="BO9">
            <v>0.0159614</v>
          </cell>
          <cell r="BP9">
            <v>1.45599</v>
          </cell>
          <cell r="BQ9">
            <v>1.8</v>
          </cell>
        </row>
        <row r="10">
          <cell r="C10">
            <v>0.01431</v>
          </cell>
          <cell r="D10">
            <v>0.000396</v>
          </cell>
          <cell r="E10">
            <v>0.06785001</v>
          </cell>
          <cell r="F10">
            <v>0.0191097</v>
          </cell>
          <cell r="G10">
            <v>0.0020044</v>
          </cell>
          <cell r="H10">
            <v>0.0860109</v>
          </cell>
          <cell r="I10">
            <v>14.717047084402006</v>
          </cell>
          <cell r="J10">
            <v>41.3</v>
          </cell>
          <cell r="K10">
            <v>63.3</v>
          </cell>
          <cell r="L10">
            <v>49.24662432317916</v>
          </cell>
          <cell r="M10">
            <v>100</v>
          </cell>
          <cell r="N10">
            <v>3.44</v>
          </cell>
          <cell r="O10">
            <v>6.15</v>
          </cell>
          <cell r="P10">
            <v>1.29</v>
          </cell>
          <cell r="Q10">
            <v>68.51074398561163</v>
          </cell>
          <cell r="AK10">
            <v>0.01</v>
          </cell>
          <cell r="AL10">
            <v>100</v>
          </cell>
          <cell r="AM10">
            <v>82.41381150130037</v>
          </cell>
          <cell r="AN10">
            <v>3.6982817978025025E-55</v>
          </cell>
          <cell r="AO10">
            <v>4.466835921509643E-24</v>
          </cell>
          <cell r="AP10">
            <v>1.0046157902783958E-07</v>
          </cell>
          <cell r="AQ10">
            <v>0.001</v>
          </cell>
          <cell r="AR10">
            <v>1E-13</v>
          </cell>
          <cell r="AS10">
            <v>13.001695780332913</v>
          </cell>
          <cell r="AT10">
            <v>8.109610578537858E-59</v>
          </cell>
          <cell r="AU10">
            <v>5.395106225151262E-10</v>
          </cell>
          <cell r="AV10">
            <v>0.00040086671762730295</v>
          </cell>
          <cell r="AW10">
            <v>1E-13</v>
          </cell>
          <cell r="AX10">
            <v>1E-13</v>
          </cell>
          <cell r="AY10">
            <v>5.997910762555104</v>
          </cell>
          <cell r="BH10">
            <v>1.76039</v>
          </cell>
          <cell r="BI10">
            <v>-0.712629</v>
          </cell>
          <cell r="BJ10">
            <v>0.00782072</v>
          </cell>
          <cell r="BK10">
            <v>-0.48812</v>
          </cell>
          <cell r="BL10">
            <v>1.65274</v>
          </cell>
          <cell r="BM10">
            <v>-0.0347411</v>
          </cell>
          <cell r="BN10">
            <v>-0.253613</v>
          </cell>
          <cell r="BO10">
            <v>0.0416715</v>
          </cell>
          <cell r="BP10">
            <v>1.24477</v>
          </cell>
          <cell r="BQ10">
            <v>2.2</v>
          </cell>
        </row>
        <row r="11">
          <cell r="C11">
            <v>0.04351</v>
          </cell>
          <cell r="D11">
            <v>0.00121</v>
          </cell>
          <cell r="E11">
            <v>0.2074</v>
          </cell>
          <cell r="F11">
            <v>0.084736</v>
          </cell>
          <cell r="G11">
            <v>0.008756</v>
          </cell>
          <cell r="H11">
            <v>0.389366</v>
          </cell>
          <cell r="I11">
            <v>17.685153530605433</v>
          </cell>
          <cell r="J11">
            <v>52.1</v>
          </cell>
          <cell r="K11">
            <v>80.6</v>
          </cell>
          <cell r="L11">
            <v>56.44974161174794</v>
          </cell>
          <cell r="M11">
            <v>100</v>
          </cell>
          <cell r="N11">
            <v>3.85</v>
          </cell>
          <cell r="O11">
            <v>7.37</v>
          </cell>
          <cell r="P11">
            <v>1.59</v>
          </cell>
          <cell r="Q11">
            <v>72.17786404973178</v>
          </cell>
          <cell r="AK11">
            <v>0.02098939883623525</v>
          </cell>
          <cell r="AL11">
            <v>28.840315031266062</v>
          </cell>
          <cell r="AM11">
            <v>90.36494737223026</v>
          </cell>
          <cell r="AN11">
            <v>1.8535316234147365E-52</v>
          </cell>
          <cell r="AO11">
            <v>7.0794578438414E-22</v>
          </cell>
          <cell r="AP11">
            <v>0.0006338697112569271</v>
          </cell>
          <cell r="AQ11">
            <v>0.001</v>
          </cell>
          <cell r="AR11">
            <v>1E-13</v>
          </cell>
          <cell r="AS11">
            <v>29.991625189876547</v>
          </cell>
          <cell r="AT11">
            <v>3.2284941217124284E-56</v>
          </cell>
          <cell r="AU11">
            <v>6.194410750767801E-09</v>
          </cell>
          <cell r="AV11">
            <v>0.12676518658578464</v>
          </cell>
          <cell r="AW11">
            <v>1E-13</v>
          </cell>
          <cell r="AX11">
            <v>1E-13</v>
          </cell>
          <cell r="AY11">
            <v>16.982436524617484</v>
          </cell>
          <cell r="BH11">
            <v>1.78276</v>
          </cell>
          <cell r="BI11">
            <v>-0.959362</v>
          </cell>
          <cell r="BJ11">
            <v>0.0859318</v>
          </cell>
          <cell r="BK11">
            <v>-0.496985</v>
          </cell>
          <cell r="BL11">
            <v>1.9478</v>
          </cell>
          <cell r="BM11">
            <v>-0.174467</v>
          </cell>
          <cell r="BN11">
            <v>-0.26901</v>
          </cell>
          <cell r="BO11">
            <v>-0.0275807</v>
          </cell>
          <cell r="BP11">
            <v>1.32283</v>
          </cell>
        </row>
        <row r="12">
          <cell r="C12">
            <v>0.13438</v>
          </cell>
          <cell r="D12">
            <v>0.004</v>
          </cell>
          <cell r="E12">
            <v>0.6456</v>
          </cell>
          <cell r="F12">
            <v>0.204492</v>
          </cell>
          <cell r="G12">
            <v>0.021391</v>
          </cell>
          <cell r="H12">
            <v>0.972542</v>
          </cell>
          <cell r="I12">
            <v>21.00567234746717</v>
          </cell>
          <cell r="J12">
            <v>63.2</v>
          </cell>
          <cell r="K12">
            <v>98.1</v>
          </cell>
          <cell r="L12">
            <v>59.97316328042627</v>
          </cell>
          <cell r="M12">
            <v>100</v>
          </cell>
          <cell r="N12">
            <v>4.19</v>
          </cell>
          <cell r="O12">
            <v>7.71</v>
          </cell>
          <cell r="P12">
            <v>2.46</v>
          </cell>
          <cell r="Q12">
            <v>75.6346880163644</v>
          </cell>
          <cell r="AK12">
            <v>0.08203515443298187</v>
          </cell>
          <cell r="AL12">
            <v>0.7244359600749902</v>
          </cell>
          <cell r="AM12">
            <v>97.27472237769675</v>
          </cell>
          <cell r="AN12">
            <v>9.289663867799014E-50</v>
          </cell>
          <cell r="AO12">
            <v>1.122018454301959E-19</v>
          </cell>
          <cell r="AP12">
            <v>3.9994474976109777</v>
          </cell>
          <cell r="AQ12">
            <v>0.001</v>
          </cell>
          <cell r="AR12">
            <v>1E-13</v>
          </cell>
          <cell r="AS12">
            <v>59.979107625550995</v>
          </cell>
          <cell r="AT12">
            <v>1.2852866599435374E-53</v>
          </cell>
          <cell r="AU12">
            <v>7.112135136533278E-08</v>
          </cell>
          <cell r="AV12">
            <v>12.912192736135347</v>
          </cell>
          <cell r="AW12">
            <v>1E-13</v>
          </cell>
          <cell r="AX12">
            <v>1E-13</v>
          </cell>
          <cell r="AY12">
            <v>39.99447497610982</v>
          </cell>
          <cell r="BH12">
            <v>2.00438</v>
          </cell>
          <cell r="BI12">
            <v>-0.711029</v>
          </cell>
          <cell r="BJ12">
            <v>0.0381263</v>
          </cell>
          <cell r="BK12">
            <v>-0.730484</v>
          </cell>
          <cell r="BL12">
            <v>1.62021</v>
          </cell>
          <cell r="BM12">
            <v>-0.086878</v>
          </cell>
          <cell r="BN12">
            <v>-0.245005</v>
          </cell>
          <cell r="BO12">
            <v>0.0792227</v>
          </cell>
          <cell r="BP12">
            <v>1.27254</v>
          </cell>
          <cell r="BQ12">
            <v>2.2</v>
          </cell>
        </row>
        <row r="13">
          <cell r="C13">
            <v>0.2839</v>
          </cell>
          <cell r="D13">
            <v>0.0116</v>
          </cell>
          <cell r="E13">
            <v>1.3856</v>
          </cell>
          <cell r="F13">
            <v>0.314679</v>
          </cell>
          <cell r="G13">
            <v>0.038676</v>
          </cell>
          <cell r="H13">
            <v>1.55348</v>
          </cell>
          <cell r="I13">
            <v>24.682341968445268</v>
          </cell>
          <cell r="J13">
            <v>73.1</v>
          </cell>
          <cell r="K13">
            <v>112.4</v>
          </cell>
          <cell r="L13">
            <v>57.76397462321114</v>
          </cell>
          <cell r="M13">
            <v>100</v>
          </cell>
          <cell r="N13">
            <v>5.06</v>
          </cell>
          <cell r="O13">
            <v>9.15</v>
          </cell>
          <cell r="P13">
            <v>4.49</v>
          </cell>
          <cell r="Q13">
            <v>78.86830889026535</v>
          </cell>
          <cell r="AK13">
            <v>0.2798981319634364</v>
          </cell>
          <cell r="AL13">
            <v>0.04365158322401661</v>
          </cell>
          <cell r="AM13">
            <v>100</v>
          </cell>
          <cell r="AN13">
            <v>4.6558609352294925E-47</v>
          </cell>
          <cell r="AO13">
            <v>1.778279410038916E-17</v>
          </cell>
          <cell r="AP13">
            <v>65.91738952443222</v>
          </cell>
          <cell r="AQ13">
            <v>0.001</v>
          </cell>
          <cell r="AR13">
            <v>1E-13</v>
          </cell>
          <cell r="AS13">
            <v>82.03515443298184</v>
          </cell>
          <cell r="AT13">
            <v>5.116818355402786E-51</v>
          </cell>
          <cell r="AU13">
            <v>8.165823713585907E-07</v>
          </cell>
          <cell r="AV13">
            <v>42.85485203974394</v>
          </cell>
          <cell r="AW13">
            <v>1E-13</v>
          </cell>
          <cell r="AX13">
            <v>1E-13</v>
          </cell>
          <cell r="AY13">
            <v>59.979107625550995</v>
          </cell>
          <cell r="BH13">
            <v>1.91049</v>
          </cell>
          <cell r="BI13">
            <v>-0.98431</v>
          </cell>
          <cell r="BJ13">
            <v>0.0583744</v>
          </cell>
          <cell r="BK13">
            <v>-0.532592</v>
          </cell>
          <cell r="BL13">
            <v>1.99845</v>
          </cell>
          <cell r="BM13">
            <v>-0.118518</v>
          </cell>
          <cell r="BN13">
            <v>-0.288284</v>
          </cell>
          <cell r="BO13">
            <v>-0.028298</v>
          </cell>
          <cell r="BP13">
            <v>0.898611</v>
          </cell>
          <cell r="BQ13">
            <v>2.2</v>
          </cell>
        </row>
        <row r="14">
          <cell r="C14">
            <v>0.34828</v>
          </cell>
          <cell r="D14">
            <v>0.023</v>
          </cell>
          <cell r="E14">
            <v>1.74706</v>
          </cell>
          <cell r="F14">
            <v>0.383734</v>
          </cell>
          <cell r="G14">
            <v>0.062077</v>
          </cell>
          <cell r="H14">
            <v>1.96728</v>
          </cell>
          <cell r="I14">
            <v>28.714714597903228</v>
          </cell>
          <cell r="J14">
            <v>80.8</v>
          </cell>
          <cell r="K14">
            <v>121.5</v>
          </cell>
          <cell r="L14">
            <v>74.7666542966335</v>
          </cell>
          <cell r="M14">
            <v>100</v>
          </cell>
          <cell r="N14">
            <v>11.81</v>
          </cell>
          <cell r="O14">
            <v>17.52</v>
          </cell>
          <cell r="P14">
            <v>12.13</v>
          </cell>
          <cell r="Q14">
            <v>81.86958284538234</v>
          </cell>
          <cell r="AK14">
            <v>0.6471426157485834</v>
          </cell>
          <cell r="AL14">
            <v>0.01</v>
          </cell>
          <cell r="AM14">
            <v>97.72372209558127</v>
          </cell>
          <cell r="AN14">
            <v>2.33345806228096E-44</v>
          </cell>
          <cell r="AO14">
            <v>2.8183829312644444E-15</v>
          </cell>
          <cell r="AP14">
            <v>100</v>
          </cell>
          <cell r="AQ14">
            <v>0.001</v>
          </cell>
          <cell r="AR14">
            <v>1E-13</v>
          </cell>
          <cell r="AS14">
            <v>100</v>
          </cell>
          <cell r="AT14">
            <v>2.0370420777056093E-48</v>
          </cell>
          <cell r="AU14">
            <v>9.37562006925879E-06</v>
          </cell>
          <cell r="AV14">
            <v>74.30191378967031</v>
          </cell>
          <cell r="AW14">
            <v>1E-13</v>
          </cell>
          <cell r="AX14">
            <v>1E-13</v>
          </cell>
          <cell r="AY14">
            <v>82.03515443298184</v>
          </cell>
          <cell r="BH14">
            <v>3.06313</v>
          </cell>
          <cell r="BI14">
            <v>-0.969258</v>
          </cell>
          <cell r="BJ14">
            <v>0.0678674</v>
          </cell>
          <cell r="BK14">
            <v>-1.39328</v>
          </cell>
          <cell r="BL14">
            <v>1.87599</v>
          </cell>
          <cell r="BM14">
            <v>-0.228821</v>
          </cell>
          <cell r="BN14">
            <v>-0.475788</v>
          </cell>
          <cell r="BO14">
            <v>0.0415557</v>
          </cell>
          <cell r="BP14">
            <v>1.06919</v>
          </cell>
          <cell r="BQ14">
            <v>2.2</v>
          </cell>
        </row>
        <row r="15">
          <cell r="C15">
            <v>0.3362</v>
          </cell>
          <cell r="D15">
            <v>0.038</v>
          </cell>
          <cell r="E15">
            <v>1.77211</v>
          </cell>
          <cell r="F15">
            <v>0.370702</v>
          </cell>
          <cell r="G15">
            <v>0.089456</v>
          </cell>
          <cell r="H15">
            <v>1.9948</v>
          </cell>
          <cell r="I15">
            <v>33.098273955464286</v>
          </cell>
          <cell r="J15">
            <v>85.4</v>
          </cell>
          <cell r="K15">
            <v>124</v>
          </cell>
          <cell r="L15">
            <v>87.18888670083923</v>
          </cell>
          <cell r="M15">
            <v>100</v>
          </cell>
          <cell r="N15">
            <v>6.63</v>
          </cell>
          <cell r="O15">
            <v>12</v>
          </cell>
          <cell r="P15">
            <v>7.19</v>
          </cell>
          <cell r="Q15">
            <v>84.63276515313679</v>
          </cell>
          <cell r="AK15">
            <v>1.2302687708123825</v>
          </cell>
          <cell r="AL15">
            <v>1E-13</v>
          </cell>
          <cell r="AM15">
            <v>89.33054837332948</v>
          </cell>
          <cell r="AN15">
            <v>1.1694993910198527E-41</v>
          </cell>
          <cell r="AO15">
            <v>4.466835921509601E-13</v>
          </cell>
          <cell r="AP15">
            <v>81.6582371358593</v>
          </cell>
          <cell r="AQ15">
            <v>0.001</v>
          </cell>
          <cell r="AR15">
            <v>1E-13</v>
          </cell>
          <cell r="AS15">
            <v>90.99132726322514</v>
          </cell>
          <cell r="AT15">
            <v>8.109610578538005E-46</v>
          </cell>
          <cell r="AU15">
            <v>0.0001076465213629834</v>
          </cell>
          <cell r="AV15">
            <v>100</v>
          </cell>
          <cell r="AW15">
            <v>1E-13</v>
          </cell>
          <cell r="AX15">
            <v>1E-13</v>
          </cell>
          <cell r="AY15">
            <v>93.97233105646386</v>
          </cell>
          <cell r="BH15">
            <v>1.34594</v>
          </cell>
          <cell r="BI15">
            <v>-0.544599</v>
          </cell>
          <cell r="BJ15">
            <v>6.11051E-08</v>
          </cell>
          <cell r="BK15">
            <v>-0.255608</v>
          </cell>
          <cell r="BL15">
            <v>1.50817</v>
          </cell>
          <cell r="BM15">
            <v>-3.30911E-08</v>
          </cell>
          <cell r="BN15">
            <v>-0.0511118</v>
          </cell>
          <cell r="BO15">
            <v>0.0205351</v>
          </cell>
          <cell r="BP15">
            <v>1.21181</v>
          </cell>
          <cell r="BQ15">
            <v>1.8</v>
          </cell>
        </row>
        <row r="16">
          <cell r="C16">
            <v>0.2908</v>
          </cell>
          <cell r="D16">
            <v>0.06</v>
          </cell>
          <cell r="E16">
            <v>1.6692</v>
          </cell>
          <cell r="F16">
            <v>0.302273</v>
          </cell>
          <cell r="G16">
            <v>0.128201</v>
          </cell>
          <cell r="H16">
            <v>1.74537</v>
          </cell>
          <cell r="I16">
            <v>37.82463957906882</v>
          </cell>
          <cell r="J16">
            <v>88.3</v>
          </cell>
          <cell r="K16">
            <v>123.1</v>
          </cell>
          <cell r="L16">
            <v>90.5586224538761</v>
          </cell>
          <cell r="M16">
            <v>100</v>
          </cell>
          <cell r="N16">
            <v>7.19</v>
          </cell>
          <cell r="O16">
            <v>13.08</v>
          </cell>
          <cell r="P16">
            <v>6.72</v>
          </cell>
          <cell r="Q16">
            <v>87.15513443178799</v>
          </cell>
          <cell r="AK16">
            <v>2.2181964198002206</v>
          </cell>
          <cell r="AL16">
            <v>1E-13</v>
          </cell>
          <cell r="AM16">
            <v>73.11390834834181</v>
          </cell>
          <cell r="AN16">
            <v>5.8613816451402116E-39</v>
          </cell>
          <cell r="AO16">
            <v>7.07945784384136E-11</v>
          </cell>
          <cell r="AP16">
            <v>41.686938347033625</v>
          </cell>
          <cell r="AQ16">
            <v>0.001</v>
          </cell>
          <cell r="AR16">
            <v>1E-13</v>
          </cell>
          <cell r="AS16">
            <v>76.03262769401834</v>
          </cell>
          <cell r="AT16">
            <v>3.2284941217124862E-43</v>
          </cell>
          <cell r="AU16">
            <v>0.0012359474334445101</v>
          </cell>
          <cell r="AV16">
            <v>90.15711376059575</v>
          </cell>
          <cell r="AW16">
            <v>1E-13</v>
          </cell>
          <cell r="AX16">
            <v>1E-13</v>
          </cell>
          <cell r="AY16">
            <v>100</v>
          </cell>
          <cell r="BH16">
            <v>3.5057</v>
          </cell>
          <cell r="BI16">
            <v>-1.06906</v>
          </cell>
          <cell r="BJ16">
            <v>0.0563117</v>
          </cell>
          <cell r="BK16">
            <v>-1.73964</v>
          </cell>
          <cell r="BL16">
            <v>1.97781</v>
          </cell>
          <cell r="BM16">
            <v>-0.196994</v>
          </cell>
          <cell r="BN16">
            <v>-0.544011</v>
          </cell>
          <cell r="BO16">
            <v>0.035172</v>
          </cell>
          <cell r="BP16">
            <v>1.05005</v>
          </cell>
          <cell r="BQ16">
            <v>2.2</v>
          </cell>
        </row>
        <row r="17">
          <cell r="C17">
            <v>0.19536</v>
          </cell>
          <cell r="D17">
            <v>0.09098</v>
          </cell>
          <cell r="E17">
            <v>1.28764</v>
          </cell>
          <cell r="F17">
            <v>0.195618</v>
          </cell>
          <cell r="G17">
            <v>0.18519</v>
          </cell>
          <cell r="H17">
            <v>1.31756</v>
          </cell>
          <cell r="I17">
            <v>42.88184157429907</v>
          </cell>
          <cell r="J17">
            <v>92</v>
          </cell>
          <cell r="K17">
            <v>123.8</v>
          </cell>
          <cell r="L17">
            <v>91.32148317861325</v>
          </cell>
          <cell r="M17">
            <v>100</v>
          </cell>
          <cell r="N17">
            <v>7.54</v>
          </cell>
          <cell r="O17">
            <v>13.71</v>
          </cell>
          <cell r="P17">
            <v>5.46</v>
          </cell>
          <cell r="Q17">
            <v>89.43661835969299</v>
          </cell>
          <cell r="AK17">
            <v>3.8194427084004694</v>
          </cell>
          <cell r="AL17">
            <v>1E-13</v>
          </cell>
          <cell r="AM17">
            <v>55.33501092157374</v>
          </cell>
          <cell r="AN17">
            <v>2.937649651961542E-36</v>
          </cell>
          <cell r="AO17">
            <v>1.1220184543019587E-08</v>
          </cell>
          <cell r="AP17">
            <v>10.964781961431855</v>
          </cell>
          <cell r="AQ17">
            <v>0.001</v>
          </cell>
          <cell r="AR17">
            <v>0.01</v>
          </cell>
          <cell r="AS17">
            <v>46.989410860521595</v>
          </cell>
          <cell r="AT17">
            <v>1.2852866599435607E-40</v>
          </cell>
          <cell r="AU17">
            <v>0.014190575216890924</v>
          </cell>
          <cell r="AV17">
            <v>55.33501092157374</v>
          </cell>
          <cell r="AW17">
            <v>1E-13</v>
          </cell>
          <cell r="AX17">
            <v>0.001</v>
          </cell>
          <cell r="AY17">
            <v>97.05099672454912</v>
          </cell>
          <cell r="BH17">
            <v>3.24071</v>
          </cell>
          <cell r="BI17">
            <v>-0.969258</v>
          </cell>
          <cell r="BJ17">
            <v>0.0556352</v>
          </cell>
          <cell r="BK17">
            <v>-1.53726</v>
          </cell>
          <cell r="BL17">
            <v>1.87599</v>
          </cell>
          <cell r="BM17">
            <v>-0.203996</v>
          </cell>
          <cell r="BN17">
            <v>-0.498571</v>
          </cell>
          <cell r="BO17">
            <v>0.0415557</v>
          </cell>
          <cell r="BP17">
            <v>1.05707</v>
          </cell>
          <cell r="BQ17">
            <v>2.4</v>
          </cell>
        </row>
        <row r="18">
          <cell r="C18">
            <v>0.09564</v>
          </cell>
          <cell r="D18">
            <v>0.13902</v>
          </cell>
          <cell r="E18">
            <v>0.8129501</v>
          </cell>
          <cell r="F18">
            <v>0.080507</v>
          </cell>
          <cell r="G18">
            <v>0.253589</v>
          </cell>
          <cell r="H18">
            <v>0.772125</v>
          </cell>
          <cell r="I18">
            <v>48.25464964896742</v>
          </cell>
          <cell r="J18">
            <v>95.2</v>
          </cell>
          <cell r="K18">
            <v>123.9</v>
          </cell>
          <cell r="L18">
            <v>95.06664044851406</v>
          </cell>
          <cell r="M18">
            <v>100</v>
          </cell>
          <cell r="N18">
            <v>7.65</v>
          </cell>
          <cell r="O18">
            <v>13.95</v>
          </cell>
          <cell r="P18">
            <v>5.66</v>
          </cell>
          <cell r="Q18">
            <v>91.47943071081232</v>
          </cell>
          <cell r="AK18">
            <v>6.576578373554213</v>
          </cell>
          <cell r="AL18">
            <v>1E-13</v>
          </cell>
          <cell r="AM18">
            <v>38.194427084004666</v>
          </cell>
          <cell r="AN18">
            <v>1.4723125024327284E-33</v>
          </cell>
          <cell r="AO18">
            <v>1.7782794100389204E-06</v>
          </cell>
          <cell r="AP18">
            <v>0.7906786279998259</v>
          </cell>
          <cell r="AQ18">
            <v>0.001</v>
          </cell>
          <cell r="AR18">
            <v>1</v>
          </cell>
          <cell r="AS18">
            <v>17.988709151287882</v>
          </cell>
          <cell r="AT18">
            <v>5.116818355402877E-38</v>
          </cell>
          <cell r="AU18">
            <v>0.16106456351782703</v>
          </cell>
          <cell r="AV18">
            <v>22.029264630534595</v>
          </cell>
          <cell r="AW18">
            <v>1E-13</v>
          </cell>
          <cell r="AX18">
            <v>1</v>
          </cell>
          <cell r="AY18">
            <v>84.91804750363154</v>
          </cell>
          <cell r="BH18">
            <v>1.46281</v>
          </cell>
          <cell r="BI18">
            <v>-0.521793</v>
          </cell>
          <cell r="BJ18">
            <v>0.0349342</v>
          </cell>
          <cell r="BK18">
            <v>-0.184062</v>
          </cell>
          <cell r="BL18">
            <v>1.44724</v>
          </cell>
          <cell r="BM18">
            <v>-0.0968931</v>
          </cell>
          <cell r="BN18">
            <v>-0.274361</v>
          </cell>
          <cell r="BO18">
            <v>0.0677228</v>
          </cell>
          <cell r="BP18">
            <v>1.28841</v>
          </cell>
          <cell r="BQ18">
            <v>2.2</v>
          </cell>
        </row>
        <row r="19">
          <cell r="C19">
            <v>0.03201</v>
          </cell>
          <cell r="D19">
            <v>0.20802</v>
          </cell>
          <cell r="E19">
            <v>0.46518</v>
          </cell>
          <cell r="F19">
            <v>0.016172</v>
          </cell>
          <cell r="G19">
            <v>0.339133</v>
          </cell>
          <cell r="H19">
            <v>0.415254</v>
          </cell>
          <cell r="I19">
            <v>53.92494093416303</v>
          </cell>
          <cell r="J19">
            <v>96.5</v>
          </cell>
          <cell r="K19">
            <v>120.7</v>
          </cell>
          <cell r="L19">
            <v>91.9293899750872</v>
          </cell>
          <cell r="M19">
            <v>100</v>
          </cell>
          <cell r="N19">
            <v>7.62</v>
          </cell>
          <cell r="O19">
            <v>13.82</v>
          </cell>
          <cell r="P19">
            <v>14.96</v>
          </cell>
          <cell r="Q19">
            <v>93.28772678949076</v>
          </cell>
          <cell r="AK19">
            <v>10.990058394325224</v>
          </cell>
          <cell r="AL19">
            <v>1E-13</v>
          </cell>
          <cell r="AM19">
            <v>22.4388192378277</v>
          </cell>
          <cell r="AN19">
            <v>7.379042301291077E-31</v>
          </cell>
          <cell r="AO19">
            <v>0.0002818382931264452</v>
          </cell>
          <cell r="AP19">
            <v>0.03681289736425316</v>
          </cell>
          <cell r="AQ19">
            <v>0.001</v>
          </cell>
          <cell r="AR19">
            <v>5.000345349769791</v>
          </cell>
          <cell r="AS19">
            <v>5.997910762555104</v>
          </cell>
          <cell r="AT19">
            <v>2.037042077705646E-35</v>
          </cell>
          <cell r="AU19">
            <v>1.4321878992735446</v>
          </cell>
          <cell r="AV19">
            <v>5.533501092157367</v>
          </cell>
          <cell r="AW19">
            <v>1E-13</v>
          </cell>
          <cell r="AX19">
            <v>5.000345349769791</v>
          </cell>
          <cell r="AY19">
            <v>65.01296903430911</v>
          </cell>
        </row>
        <row r="20">
          <cell r="C20">
            <v>0.0049</v>
          </cell>
          <cell r="D20">
            <v>0.323</v>
          </cell>
          <cell r="E20">
            <v>0.272</v>
          </cell>
          <cell r="F20">
            <v>0.003816</v>
          </cell>
          <cell r="G20">
            <v>0.460777</v>
          </cell>
          <cell r="H20">
            <v>0.218502</v>
          </cell>
          <cell r="I20">
            <v>59.87209226972303</v>
          </cell>
          <cell r="J20">
            <v>94.2</v>
          </cell>
          <cell r="K20">
            <v>112.1</v>
          </cell>
          <cell r="L20">
            <v>95.69666845102974</v>
          </cell>
          <cell r="M20">
            <v>100</v>
          </cell>
          <cell r="N20">
            <v>7.28</v>
          </cell>
          <cell r="O20">
            <v>13.43</v>
          </cell>
          <cell r="P20">
            <v>4.72</v>
          </cell>
          <cell r="Q20">
            <v>94.86728204321638</v>
          </cell>
          <cell r="AK20">
            <v>18.879913490962945</v>
          </cell>
          <cell r="AL20">
            <v>1E-13</v>
          </cell>
          <cell r="AM20">
            <v>9.840111057611349</v>
          </cell>
          <cell r="AN20">
            <v>3.698281797802679E-28</v>
          </cell>
          <cell r="AO20">
            <v>0.04466835921509632</v>
          </cell>
          <cell r="AP20">
            <v>0.0014621771744567182</v>
          </cell>
          <cell r="AQ20">
            <v>0.001</v>
          </cell>
          <cell r="AR20">
            <v>27.98981319634367</v>
          </cell>
          <cell r="AS20">
            <v>0.7998342550070292</v>
          </cell>
          <cell r="AT20">
            <v>8.109610578538149E-33</v>
          </cell>
          <cell r="AU20">
            <v>6.36795520907916</v>
          </cell>
          <cell r="AV20">
            <v>0.9772372209558113</v>
          </cell>
          <cell r="AW20">
            <v>1E-13</v>
          </cell>
          <cell r="AX20">
            <v>27.98981319634367</v>
          </cell>
          <cell r="AY20">
            <v>39.99447497610982</v>
          </cell>
        </row>
        <row r="21">
          <cell r="C21">
            <v>0.0093</v>
          </cell>
          <cell r="D21">
            <v>0.503</v>
          </cell>
          <cell r="E21">
            <v>0.1582</v>
          </cell>
          <cell r="F21">
            <v>0.037465</v>
          </cell>
          <cell r="G21">
            <v>0.606741</v>
          </cell>
          <cell r="H21">
            <v>0.112044</v>
          </cell>
          <cell r="I21">
            <v>66.0733841487137</v>
          </cell>
          <cell r="J21">
            <v>90.7</v>
          </cell>
          <cell r="K21">
            <v>102.3</v>
          </cell>
          <cell r="L21">
            <v>96.59098268720263</v>
          </cell>
          <cell r="M21">
            <v>100</v>
          </cell>
          <cell r="N21">
            <v>7.05</v>
          </cell>
          <cell r="O21">
            <v>13.08</v>
          </cell>
          <cell r="P21">
            <v>1.47</v>
          </cell>
          <cell r="Q21">
            <v>96.22519677661553</v>
          </cell>
          <cell r="AK21">
            <v>32.58367010020088</v>
          </cell>
          <cell r="AL21">
            <v>1E-13</v>
          </cell>
          <cell r="AM21">
            <v>2.523480772480577</v>
          </cell>
          <cell r="AN21">
            <v>1.8535316234148249E-25</v>
          </cell>
          <cell r="AO21">
            <v>6.637430704019091</v>
          </cell>
          <cell r="AP21">
            <v>5.821032177708713E-05</v>
          </cell>
          <cell r="AQ21">
            <v>0.001</v>
          </cell>
          <cell r="AR21">
            <v>68.0769358693743</v>
          </cell>
          <cell r="AS21">
            <v>0.05000345349769787</v>
          </cell>
          <cell r="AT21">
            <v>3.228494121712567E-30</v>
          </cell>
          <cell r="AU21">
            <v>18.706821403658033</v>
          </cell>
          <cell r="AV21">
            <v>0.07112135136533294</v>
          </cell>
          <cell r="AW21">
            <v>1E-13</v>
          </cell>
          <cell r="AX21">
            <v>68.0769358693743</v>
          </cell>
          <cell r="AY21">
            <v>17.988709151287882</v>
          </cell>
          <cell r="BH21">
            <v>0.11498590053419185</v>
          </cell>
          <cell r="BI21">
            <v>0.09939698895977203</v>
          </cell>
          <cell r="BJ21">
            <v>0.046971421117420406</v>
          </cell>
        </row>
        <row r="22">
          <cell r="C22">
            <v>0.06327</v>
          </cell>
          <cell r="D22">
            <v>0.71</v>
          </cell>
          <cell r="E22">
            <v>0.07824999</v>
          </cell>
          <cell r="F22">
            <v>0.117749</v>
          </cell>
          <cell r="G22">
            <v>0.761757</v>
          </cell>
          <cell r="H22">
            <v>0.060709</v>
          </cell>
          <cell r="I22">
            <v>72.50440522395667</v>
          </cell>
          <cell r="J22">
            <v>89.5</v>
          </cell>
          <cell r="K22">
            <v>96.9</v>
          </cell>
          <cell r="L22">
            <v>97.11313634325921</v>
          </cell>
          <cell r="M22">
            <v>100</v>
          </cell>
          <cell r="N22">
            <v>7.16</v>
          </cell>
          <cell r="O22">
            <v>12.78</v>
          </cell>
          <cell r="P22">
            <v>0.89</v>
          </cell>
          <cell r="Q22">
            <v>97.36962842692313</v>
          </cell>
          <cell r="AK22">
            <v>50.35006087879053</v>
          </cell>
          <cell r="AL22">
            <v>1E-13</v>
          </cell>
          <cell r="AM22">
            <v>0.6382634861905492</v>
          </cell>
          <cell r="AN22">
            <v>9.289663867799389E-23</v>
          </cell>
          <cell r="AO22">
            <v>60.53408747539147</v>
          </cell>
          <cell r="AP22">
            <v>2.3173946499684793E-06</v>
          </cell>
          <cell r="AQ22">
            <v>0.001</v>
          </cell>
          <cell r="AR22">
            <v>92.04495717531728</v>
          </cell>
          <cell r="AS22">
            <v>0.01</v>
          </cell>
          <cell r="AT22">
            <v>1.2852866599435927E-27</v>
          </cell>
          <cell r="AU22">
            <v>42.26686142656034</v>
          </cell>
          <cell r="AV22">
            <v>0.0004487453899331321</v>
          </cell>
          <cell r="AW22">
            <v>1E-13</v>
          </cell>
          <cell r="AX22">
            <v>92.04495717531728</v>
          </cell>
          <cell r="AY22">
            <v>5.000345349769791</v>
          </cell>
          <cell r="BH22">
            <v>0.1081346754157158</v>
          </cell>
          <cell r="BI22">
            <v>0.09675371048981493</v>
          </cell>
          <cell r="BJ22">
            <v>0.06199069297125429</v>
          </cell>
        </row>
        <row r="23">
          <cell r="C23">
            <v>0.1655</v>
          </cell>
          <cell r="D23">
            <v>0.862</v>
          </cell>
          <cell r="E23">
            <v>0.04216</v>
          </cell>
          <cell r="F23">
            <v>0.236491</v>
          </cell>
          <cell r="G23">
            <v>0.875211</v>
          </cell>
          <cell r="H23">
            <v>0.030451</v>
          </cell>
          <cell r="I23">
            <v>79.13944806008315</v>
          </cell>
          <cell r="J23">
            <v>92.2</v>
          </cell>
          <cell r="K23">
            <v>98</v>
          </cell>
          <cell r="L23">
            <v>102.08728984750144</v>
          </cell>
          <cell r="M23">
            <v>100</v>
          </cell>
          <cell r="N23">
            <v>8.04</v>
          </cell>
          <cell r="O23">
            <v>12.44</v>
          </cell>
          <cell r="P23">
            <v>1.18</v>
          </cell>
          <cell r="Q23">
            <v>98.30955173661594</v>
          </cell>
          <cell r="AK23">
            <v>66.83439175686159</v>
          </cell>
          <cell r="AL23">
            <v>1E-13</v>
          </cell>
          <cell r="AM23">
            <v>0.16255487557504839</v>
          </cell>
          <cell r="AN23">
            <v>4.655860935229614E-20</v>
          </cell>
          <cell r="AO23">
            <v>100</v>
          </cell>
          <cell r="AP23">
            <v>9.225714271547625E-08</v>
          </cell>
          <cell r="AQ23">
            <v>0.001</v>
          </cell>
          <cell r="AR23">
            <v>100</v>
          </cell>
          <cell r="AS23">
            <v>1E-13</v>
          </cell>
          <cell r="AT23">
            <v>5.1168183554030055E-25</v>
          </cell>
          <cell r="AU23">
            <v>74.47319739059898</v>
          </cell>
          <cell r="AV23">
            <v>2.8313919957993767E-06</v>
          </cell>
          <cell r="AW23">
            <v>1E-13</v>
          </cell>
          <cell r="AX23">
            <v>100</v>
          </cell>
          <cell r="AY23">
            <v>0.1999861869632746</v>
          </cell>
        </row>
        <row r="24">
          <cell r="C24">
            <v>0.2904</v>
          </cell>
          <cell r="D24">
            <v>0.954</v>
          </cell>
          <cell r="E24">
            <v>0.0203</v>
          </cell>
          <cell r="F24">
            <v>0.376772</v>
          </cell>
          <cell r="G24">
            <v>0.961988</v>
          </cell>
          <cell r="H24">
            <v>0.013676</v>
          </cell>
          <cell r="I24">
            <v>85.95188857455156</v>
          </cell>
          <cell r="J24">
            <v>96.9</v>
          </cell>
          <cell r="K24">
            <v>102.1</v>
          </cell>
          <cell r="L24">
            <v>100.74727524031019</v>
          </cell>
          <cell r="M24">
            <v>100</v>
          </cell>
          <cell r="N24">
            <v>10.01</v>
          </cell>
          <cell r="O24">
            <v>12.26</v>
          </cell>
          <cell r="P24">
            <v>39.59</v>
          </cell>
          <cell r="Q24">
            <v>99.05454631961742</v>
          </cell>
          <cell r="AK24">
            <v>80.35261221856182</v>
          </cell>
          <cell r="AL24">
            <v>1E-13</v>
          </cell>
          <cell r="AM24">
            <v>0.01</v>
          </cell>
          <cell r="AN24">
            <v>2.3334580622810048E-17</v>
          </cell>
          <cell r="AO24">
            <v>80.53784411990665</v>
          </cell>
          <cell r="AP24">
            <v>3.6728230049808357E-09</v>
          </cell>
          <cell r="AQ24">
            <v>0.001</v>
          </cell>
          <cell r="AR24">
            <v>87.9022516830886</v>
          </cell>
          <cell r="AS24">
            <v>1E-13</v>
          </cell>
          <cell r="AT24">
            <v>2.0370420777056967E-22</v>
          </cell>
          <cell r="AU24">
            <v>100</v>
          </cell>
          <cell r="AV24">
            <v>1.7864875748520486E-08</v>
          </cell>
          <cell r="AW24">
            <v>1E-13</v>
          </cell>
          <cell r="AX24">
            <v>87.9022516830886</v>
          </cell>
          <cell r="AY24">
            <v>0.03999447497610978</v>
          </cell>
        </row>
        <row r="25">
          <cell r="C25">
            <v>0.4334499</v>
          </cell>
          <cell r="D25">
            <v>0.9949501</v>
          </cell>
          <cell r="E25">
            <v>0.008749999</v>
          </cell>
          <cell r="F25">
            <v>0.529826</v>
          </cell>
          <cell r="G25">
            <v>0.991761</v>
          </cell>
          <cell r="H25">
            <v>0.003988</v>
          </cell>
          <cell r="I25">
            <v>92.91454328279498</v>
          </cell>
          <cell r="J25">
            <v>101</v>
          </cell>
          <cell r="K25">
            <v>105.2</v>
          </cell>
          <cell r="L25">
            <v>102.31336445178015</v>
          </cell>
          <cell r="M25">
            <v>100</v>
          </cell>
          <cell r="N25">
            <v>16.64</v>
          </cell>
          <cell r="O25">
            <v>17.05</v>
          </cell>
          <cell r="P25">
            <v>32.61</v>
          </cell>
          <cell r="Q25">
            <v>99.61461051383009</v>
          </cell>
          <cell r="AK25">
            <v>90.57326008982004</v>
          </cell>
          <cell r="AL25">
            <v>1E-13</v>
          </cell>
          <cell r="AM25">
            <v>1E-13</v>
          </cell>
          <cell r="AN25">
            <v>1.1694993910198708E-14</v>
          </cell>
          <cell r="AO25">
            <v>44.05548635065538</v>
          </cell>
          <cell r="AP25">
            <v>1.4621771744567122E-10</v>
          </cell>
          <cell r="AQ25">
            <v>0.001</v>
          </cell>
          <cell r="AR25">
            <v>66.06934480075974</v>
          </cell>
          <cell r="AS25">
            <v>1E-13</v>
          </cell>
          <cell r="AT25">
            <v>8.109610578538353E-20</v>
          </cell>
          <cell r="AU25">
            <v>98.85530946569408</v>
          </cell>
          <cell r="AV25">
            <v>1.1271974561755067E-10</v>
          </cell>
          <cell r="AW25">
            <v>1E-13</v>
          </cell>
          <cell r="AX25">
            <v>66.06934480075974</v>
          </cell>
          <cell r="AY25">
            <v>0.001</v>
          </cell>
        </row>
        <row r="26">
          <cell r="C26">
            <v>0.5945</v>
          </cell>
          <cell r="D26">
            <v>0.995</v>
          </cell>
          <cell r="E26">
            <v>0.0039</v>
          </cell>
          <cell r="F26">
            <v>0.705224</v>
          </cell>
          <cell r="G26">
            <v>0.99734</v>
          </cell>
          <cell r="H26">
            <v>0</v>
          </cell>
          <cell r="I26">
            <v>100</v>
          </cell>
          <cell r="J26">
            <v>102.8</v>
          </cell>
          <cell r="K26">
            <v>105.3</v>
          </cell>
          <cell r="L26">
            <v>100</v>
          </cell>
          <cell r="M26">
            <v>100</v>
          </cell>
          <cell r="N26">
            <v>16.16</v>
          </cell>
          <cell r="O26">
            <v>12.58</v>
          </cell>
          <cell r="P26">
            <v>2.83</v>
          </cell>
          <cell r="Q26">
            <v>100</v>
          </cell>
          <cell r="AK26">
            <v>97.49896377173883</v>
          </cell>
          <cell r="AL26">
            <v>1E-13</v>
          </cell>
          <cell r="AM26">
            <v>1E-13</v>
          </cell>
          <cell r="AN26">
            <v>5.861381645140282E-12</v>
          </cell>
          <cell r="AO26">
            <v>16.634126503701715</v>
          </cell>
          <cell r="AP26">
            <v>5.821032177708696E-12</v>
          </cell>
          <cell r="AQ26">
            <v>0.01</v>
          </cell>
          <cell r="AR26">
            <v>41.97589839910085</v>
          </cell>
          <cell r="AS26">
            <v>1E-13</v>
          </cell>
          <cell r="AT26">
            <v>3.228494121712625E-17</v>
          </cell>
          <cell r="AU26">
            <v>65.76578373554207</v>
          </cell>
          <cell r="AV26">
            <v>7.11213513653329E-13</v>
          </cell>
          <cell r="AW26">
            <v>0.001</v>
          </cell>
          <cell r="AX26">
            <v>41.97589839910085</v>
          </cell>
          <cell r="AY26">
            <v>1E-13</v>
          </cell>
        </row>
        <row r="27">
          <cell r="C27">
            <v>0.7621</v>
          </cell>
          <cell r="D27">
            <v>0.952</v>
          </cell>
          <cell r="E27">
            <v>0.0021</v>
          </cell>
          <cell r="F27">
            <v>0.878655</v>
          </cell>
          <cell r="G27">
            <v>0.955552</v>
          </cell>
          <cell r="H27">
            <v>0</v>
          </cell>
          <cell r="I27">
            <v>107.18091902662721</v>
          </cell>
          <cell r="J27">
            <v>102.6</v>
          </cell>
          <cell r="K27">
            <v>102.3</v>
          </cell>
          <cell r="L27">
            <v>97.73786418676701</v>
          </cell>
          <cell r="M27">
            <v>100</v>
          </cell>
          <cell r="N27">
            <v>18.62</v>
          </cell>
          <cell r="O27">
            <v>12.83</v>
          </cell>
          <cell r="P27">
            <v>1.67</v>
          </cell>
          <cell r="Q27">
            <v>100.22108940595362</v>
          </cell>
          <cell r="AK27">
            <v>100</v>
          </cell>
          <cell r="AL27">
            <v>1E-13</v>
          </cell>
          <cell r="AM27">
            <v>1E-13</v>
          </cell>
          <cell r="AN27">
            <v>2.9376496519615252E-09</v>
          </cell>
          <cell r="AO27">
            <v>4.064433291652129</v>
          </cell>
          <cell r="AP27">
            <v>2.317394649968461E-13</v>
          </cell>
          <cell r="AQ27">
            <v>0.059979107625550955</v>
          </cell>
          <cell r="AR27">
            <v>21.97859872784827</v>
          </cell>
          <cell r="AS27">
            <v>1E-13</v>
          </cell>
          <cell r="AT27">
            <v>1.2852866599436113E-14</v>
          </cell>
          <cell r="AU27">
            <v>28.707805820246968</v>
          </cell>
          <cell r="AV27">
            <v>4.4874538993313205E-15</v>
          </cell>
          <cell r="AW27">
            <v>0.059979107625550955</v>
          </cell>
          <cell r="AX27">
            <v>21.97859872784827</v>
          </cell>
          <cell r="AY27">
            <v>1E-13</v>
          </cell>
        </row>
        <row r="28">
          <cell r="C28">
            <v>0.9163</v>
          </cell>
          <cell r="D28">
            <v>0.87</v>
          </cell>
          <cell r="E28">
            <v>0.001650001</v>
          </cell>
          <cell r="F28">
            <v>1.01416</v>
          </cell>
          <cell r="G28">
            <v>0.868934</v>
          </cell>
          <cell r="H28">
            <v>0</v>
          </cell>
          <cell r="I28">
            <v>114.43030304266115</v>
          </cell>
          <cell r="J28">
            <v>101</v>
          </cell>
          <cell r="K28">
            <v>97.8</v>
          </cell>
          <cell r="L28">
            <v>98.92449973498688</v>
          </cell>
          <cell r="M28">
            <v>100</v>
          </cell>
          <cell r="N28">
            <v>22.79</v>
          </cell>
          <cell r="O28">
            <v>16.75</v>
          </cell>
          <cell r="P28">
            <v>11.28</v>
          </cell>
          <cell r="Q28">
            <v>100.2882549726011</v>
          </cell>
          <cell r="AK28">
            <v>97.49896377173883</v>
          </cell>
          <cell r="AL28">
            <v>1E-13</v>
          </cell>
          <cell r="AM28">
            <v>1E-13</v>
          </cell>
          <cell r="AN28">
            <v>1.4723125024327173E-06</v>
          </cell>
          <cell r="AO28">
            <v>0.5834451042737453</v>
          </cell>
          <cell r="AP28">
            <v>9.225714271547555E-15</v>
          </cell>
          <cell r="AQ28">
            <v>0.4497798548932883</v>
          </cell>
          <cell r="AR28">
            <v>8.994975815300357</v>
          </cell>
          <cell r="AS28">
            <v>1E-13</v>
          </cell>
          <cell r="AT28">
            <v>5.116818355403061E-12</v>
          </cell>
          <cell r="AU28">
            <v>8.222426499470725</v>
          </cell>
          <cell r="AV28">
            <v>2.8313919957993774E-17</v>
          </cell>
          <cell r="AW28">
            <v>0.4497798548932883</v>
          </cell>
          <cell r="AX28">
            <v>8.994975815300357</v>
          </cell>
          <cell r="AY28">
            <v>1E-13</v>
          </cell>
        </row>
        <row r="29">
          <cell r="C29">
            <v>1.0263</v>
          </cell>
          <cell r="D29">
            <v>0.757</v>
          </cell>
          <cell r="E29">
            <v>0.0011</v>
          </cell>
          <cell r="F29">
            <v>1.11852</v>
          </cell>
          <cell r="G29">
            <v>0.777405</v>
          </cell>
          <cell r="H29">
            <v>0</v>
          </cell>
          <cell r="I29">
            <v>121.72173495371513</v>
          </cell>
          <cell r="J29">
            <v>99.2</v>
          </cell>
          <cell r="K29">
            <v>93.2</v>
          </cell>
          <cell r="L29">
            <v>93.51129849169794</v>
          </cell>
          <cell r="M29">
            <v>100</v>
          </cell>
          <cell r="N29">
            <v>18.66</v>
          </cell>
          <cell r="O29">
            <v>12.67</v>
          </cell>
          <cell r="P29">
            <v>12.73</v>
          </cell>
          <cell r="Q29">
            <v>100.2117763057049</v>
          </cell>
          <cell r="AK29">
            <v>90.36494737223026</v>
          </cell>
          <cell r="AL29">
            <v>1E-13</v>
          </cell>
          <cell r="AM29">
            <v>1E-13</v>
          </cell>
          <cell r="AN29">
            <v>0.0007379042301291007</v>
          </cell>
          <cell r="AO29">
            <v>0.0379314984973682</v>
          </cell>
          <cell r="AP29">
            <v>3.6728230049808136E-16</v>
          </cell>
          <cell r="AQ29">
            <v>29.991625189876547</v>
          </cell>
          <cell r="AR29">
            <v>2.5003453616964335</v>
          </cell>
          <cell r="AS29">
            <v>1E-13</v>
          </cell>
          <cell r="AT29">
            <v>2.0370420777057116E-09</v>
          </cell>
          <cell r="AU29">
            <v>1.485935642287009</v>
          </cell>
          <cell r="AV29">
            <v>1.7864875748520554E-19</v>
          </cell>
          <cell r="AW29">
            <v>29.991625189876547</v>
          </cell>
          <cell r="AX29">
            <v>2.5003453616964335</v>
          </cell>
          <cell r="AY29">
            <v>1E-13</v>
          </cell>
        </row>
        <row r="30">
          <cell r="C30">
            <v>1.0622</v>
          </cell>
          <cell r="D30">
            <v>0.631</v>
          </cell>
          <cell r="E30">
            <v>0.0008</v>
          </cell>
          <cell r="F30">
            <v>1.12399</v>
          </cell>
          <cell r="G30">
            <v>0.658341</v>
          </cell>
          <cell r="H30">
            <v>0</v>
          </cell>
          <cell r="I30">
            <v>129.0295837755883</v>
          </cell>
          <cell r="J30">
            <v>98</v>
          </cell>
          <cell r="K30">
            <v>89.7</v>
          </cell>
          <cell r="L30">
            <v>97.70746200381785</v>
          </cell>
          <cell r="M30">
            <v>100</v>
          </cell>
          <cell r="N30">
            <v>16.54</v>
          </cell>
          <cell r="O30">
            <v>12.19</v>
          </cell>
          <cell r="P30">
            <v>7.33</v>
          </cell>
          <cell r="Q30">
            <v>100.0017552521127</v>
          </cell>
          <cell r="AK30">
            <v>79.79946872679773</v>
          </cell>
          <cell r="AL30">
            <v>1E-13</v>
          </cell>
          <cell r="AM30">
            <v>1E-13</v>
          </cell>
          <cell r="AN30">
            <v>0.36982817978026644</v>
          </cell>
          <cell r="AO30">
            <v>0.0007568328950209744</v>
          </cell>
          <cell r="AP30">
            <v>1.4621771744567035E-17</v>
          </cell>
          <cell r="AQ30">
            <v>100</v>
          </cell>
          <cell r="AR30">
            <v>0.6998419960022744</v>
          </cell>
          <cell r="AS30">
            <v>1E-13</v>
          </cell>
          <cell r="AT30">
            <v>8.109610578538396E-07</v>
          </cell>
          <cell r="AU30">
            <v>0.1733803997754138</v>
          </cell>
          <cell r="AV30">
            <v>1.1271974561755132E-21</v>
          </cell>
          <cell r="AW30">
            <v>100</v>
          </cell>
          <cell r="AX30">
            <v>0.6998419960022744</v>
          </cell>
          <cell r="AY30">
            <v>1E-13</v>
          </cell>
        </row>
        <row r="31">
          <cell r="C31">
            <v>1.0026</v>
          </cell>
          <cell r="D31">
            <v>0.503</v>
          </cell>
          <cell r="E31">
            <v>0.00034</v>
          </cell>
          <cell r="F31">
            <v>1.03048</v>
          </cell>
          <cell r="G31">
            <v>0.527963</v>
          </cell>
          <cell r="H31">
            <v>0</v>
          </cell>
          <cell r="I31">
            <v>136.329179323375</v>
          </cell>
          <cell r="J31">
            <v>98.5</v>
          </cell>
          <cell r="K31">
            <v>88.4</v>
          </cell>
          <cell r="L31">
            <v>99.29398635387369</v>
          </cell>
          <cell r="M31">
            <v>100</v>
          </cell>
          <cell r="N31">
            <v>13.8</v>
          </cell>
          <cell r="O31">
            <v>11.6</v>
          </cell>
          <cell r="P31">
            <v>55.27</v>
          </cell>
          <cell r="Q31">
            <v>99.66805000215483</v>
          </cell>
          <cell r="AK31">
            <v>67.14288529259534</v>
          </cell>
          <cell r="AL31">
            <v>1E-13</v>
          </cell>
          <cell r="AM31">
            <v>1E-13</v>
          </cell>
          <cell r="AN31">
            <v>43.451022417157176</v>
          </cell>
          <cell r="AO31">
            <v>1.510080154164148E-05</v>
          </cell>
          <cell r="AP31">
            <v>5.821032177708651E-19</v>
          </cell>
          <cell r="AQ31">
            <v>84.91804750363154</v>
          </cell>
          <cell r="AR31">
            <v>0.08994975815300353</v>
          </cell>
          <cell r="AS31">
            <v>1E-13</v>
          </cell>
          <cell r="AT31">
            <v>0.0003228494121712634</v>
          </cell>
          <cell r="AU31">
            <v>0.0117489755493953</v>
          </cell>
          <cell r="AV31">
            <v>7.112135136533305E-24</v>
          </cell>
          <cell r="AW31">
            <v>84.91804750363154</v>
          </cell>
          <cell r="AX31">
            <v>0.08994975815300353</v>
          </cell>
          <cell r="AY31">
            <v>1E-13</v>
          </cell>
        </row>
        <row r="32">
          <cell r="C32">
            <v>0.8544499</v>
          </cell>
          <cell r="D32">
            <v>0.381</v>
          </cell>
          <cell r="E32">
            <v>0.00019</v>
          </cell>
          <cell r="F32">
            <v>0.856297</v>
          </cell>
          <cell r="G32">
            <v>0.398057</v>
          </cell>
          <cell r="H32">
            <v>0</v>
          </cell>
          <cell r="I32">
            <v>143.59695700104737</v>
          </cell>
          <cell r="J32">
            <v>99.7</v>
          </cell>
          <cell r="K32">
            <v>88.1</v>
          </cell>
          <cell r="L32">
            <v>99.07048593704623</v>
          </cell>
          <cell r="M32">
            <v>100</v>
          </cell>
          <cell r="N32">
            <v>10.95</v>
          </cell>
          <cell r="O32">
            <v>11.12</v>
          </cell>
          <cell r="P32">
            <v>13.18</v>
          </cell>
          <cell r="Q32">
            <v>99.22022261621325</v>
          </cell>
          <cell r="AK32">
            <v>53.82697825162882</v>
          </cell>
          <cell r="AL32">
            <v>1E-13</v>
          </cell>
          <cell r="AM32">
            <v>1E-13</v>
          </cell>
          <cell r="AN32">
            <v>100</v>
          </cell>
          <cell r="AO32">
            <v>3.013006024186119E-07</v>
          </cell>
          <cell r="AP32">
            <v>2.317394649968468E-20</v>
          </cell>
          <cell r="AQ32">
            <v>54.954087385762506</v>
          </cell>
          <cell r="AR32">
            <v>0.01</v>
          </cell>
          <cell r="AS32">
            <v>1E-13</v>
          </cell>
          <cell r="AT32">
            <v>0.1285286659943616</v>
          </cell>
          <cell r="AU32">
            <v>0.0007413102413009177</v>
          </cell>
          <cell r="AV32">
            <v>4.487453899331361E-26</v>
          </cell>
          <cell r="AW32">
            <v>54.954087385762506</v>
          </cell>
          <cell r="AX32">
            <v>0.01</v>
          </cell>
          <cell r="AY32">
            <v>1E-13</v>
          </cell>
        </row>
        <row r="33">
          <cell r="C33">
            <v>0.6424</v>
          </cell>
          <cell r="D33">
            <v>0.265</v>
          </cell>
          <cell r="E33">
            <v>4.999999E-05</v>
          </cell>
          <cell r="F33">
            <v>0.647467</v>
          </cell>
          <cell r="G33">
            <v>0.283493</v>
          </cell>
          <cell r="H33">
            <v>0</v>
          </cell>
          <cell r="I33">
            <v>150.81057438389774</v>
          </cell>
          <cell r="J33">
            <v>101</v>
          </cell>
          <cell r="K33">
            <v>88</v>
          </cell>
          <cell r="L33">
            <v>95.75347494369919</v>
          </cell>
          <cell r="M33">
            <v>100</v>
          </cell>
          <cell r="N33">
            <v>8.4</v>
          </cell>
          <cell r="O33">
            <v>10.76</v>
          </cell>
          <cell r="P33">
            <v>12.26</v>
          </cell>
          <cell r="Q33">
            <v>98.66749829125665</v>
          </cell>
          <cell r="AK33">
            <v>39.17418771077834</v>
          </cell>
          <cell r="AL33">
            <v>1E-13</v>
          </cell>
          <cell r="AM33">
            <v>1E-13</v>
          </cell>
          <cell r="AN33">
            <v>74.30191378967031</v>
          </cell>
          <cell r="AO33">
            <v>6.011737374832777E-09</v>
          </cell>
          <cell r="AP33">
            <v>9.225714271547582E-22</v>
          </cell>
          <cell r="AQ33">
            <v>25.003453616964336</v>
          </cell>
          <cell r="AR33">
            <v>1E-13</v>
          </cell>
          <cell r="AS33">
            <v>1E-13</v>
          </cell>
          <cell r="AT33">
            <v>30.13006024186124</v>
          </cell>
          <cell r="AU33">
            <v>4.677351412871983E-05</v>
          </cell>
          <cell r="AV33">
            <v>2.8313919957994032E-28</v>
          </cell>
          <cell r="AW33">
            <v>25.003453616964336</v>
          </cell>
          <cell r="AX33">
            <v>0.001</v>
          </cell>
          <cell r="AY33">
            <v>1E-13</v>
          </cell>
        </row>
        <row r="34">
          <cell r="C34">
            <v>0.4479</v>
          </cell>
          <cell r="D34">
            <v>0.175</v>
          </cell>
          <cell r="E34">
            <v>2E-05</v>
          </cell>
          <cell r="F34">
            <v>0.431567</v>
          </cell>
          <cell r="G34">
            <v>0.179828</v>
          </cell>
          <cell r="H34">
            <v>0</v>
          </cell>
          <cell r="I34">
            <v>157.94900156636507</v>
          </cell>
          <cell r="J34">
            <v>102.2</v>
          </cell>
          <cell r="K34">
            <v>87.8</v>
          </cell>
          <cell r="L34">
            <v>98.8967237498161</v>
          </cell>
          <cell r="M34">
            <v>100</v>
          </cell>
          <cell r="N34">
            <v>6.31</v>
          </cell>
          <cell r="O34">
            <v>10.11</v>
          </cell>
          <cell r="P34">
            <v>2.07</v>
          </cell>
          <cell r="Q34">
            <v>98.01873481329218</v>
          </cell>
          <cell r="AK34">
            <v>27.101916318908447</v>
          </cell>
          <cell r="AL34">
            <v>1E-13</v>
          </cell>
          <cell r="AM34">
            <v>1E-13</v>
          </cell>
          <cell r="AN34">
            <v>40.17908108489405</v>
          </cell>
          <cell r="AO34">
            <v>1.1994993031493763E-10</v>
          </cell>
          <cell r="AP34">
            <v>3.67282300498085E-23</v>
          </cell>
          <cell r="AQ34">
            <v>10</v>
          </cell>
          <cell r="AR34">
            <v>1E-13</v>
          </cell>
          <cell r="AS34">
            <v>1E-13</v>
          </cell>
          <cell r="AT34">
            <v>100</v>
          </cell>
          <cell r="AU34">
            <v>2.9512092266663862E-06</v>
          </cell>
          <cell r="AV34">
            <v>1.7864875748520653E-30</v>
          </cell>
          <cell r="AW34">
            <v>10</v>
          </cell>
          <cell r="AX34">
            <v>1E-13</v>
          </cell>
          <cell r="AY34">
            <v>1E-13</v>
          </cell>
        </row>
        <row r="35">
          <cell r="C35">
            <v>0.2835</v>
          </cell>
          <cell r="D35">
            <v>0.107</v>
          </cell>
          <cell r="E35">
            <v>0</v>
          </cell>
          <cell r="F35">
            <v>0.268329</v>
          </cell>
          <cell r="G35">
            <v>0.107633</v>
          </cell>
          <cell r="H35">
            <v>0</v>
          </cell>
          <cell r="I35">
            <v>164.9925874285872</v>
          </cell>
          <cell r="J35">
            <v>103.9</v>
          </cell>
          <cell r="K35">
            <v>88.2</v>
          </cell>
          <cell r="L35">
            <v>95.7087089908105</v>
          </cell>
          <cell r="M35">
            <v>100</v>
          </cell>
          <cell r="N35">
            <v>4.68</v>
          </cell>
          <cell r="O35">
            <v>10.02</v>
          </cell>
          <cell r="P35">
            <v>3.58</v>
          </cell>
          <cell r="Q35">
            <v>97.2824007772761</v>
          </cell>
          <cell r="AK35">
            <v>17.298163592151056</v>
          </cell>
          <cell r="AL35">
            <v>1E-13</v>
          </cell>
          <cell r="AM35">
            <v>1E-13</v>
          </cell>
          <cell r="AN35">
            <v>19.319683170169252</v>
          </cell>
          <cell r="AO35">
            <v>2.3933157564053786E-12</v>
          </cell>
          <cell r="AP35">
            <v>1.4621771744567183E-24</v>
          </cell>
          <cell r="AQ35">
            <v>5.000345349769791</v>
          </cell>
          <cell r="AR35">
            <v>1E-13</v>
          </cell>
          <cell r="AS35">
            <v>1E-13</v>
          </cell>
          <cell r="AT35">
            <v>79.2501330480472</v>
          </cell>
          <cell r="AU35">
            <v>1.8620871366628675E-07</v>
          </cell>
          <cell r="AV35">
            <v>1.1271974561755274E-32</v>
          </cell>
          <cell r="AW35">
            <v>5.000345349769791</v>
          </cell>
          <cell r="AX35">
            <v>1E-13</v>
          </cell>
          <cell r="AY35">
            <v>1E-13</v>
          </cell>
        </row>
        <row r="36">
          <cell r="C36">
            <v>0.1649</v>
          </cell>
          <cell r="D36">
            <v>0.061</v>
          </cell>
          <cell r="E36">
            <v>0</v>
          </cell>
          <cell r="F36">
            <v>0.152568</v>
          </cell>
          <cell r="G36">
            <v>0.060281</v>
          </cell>
          <cell r="H36">
            <v>0</v>
          </cell>
          <cell r="I36">
            <v>171.9231040726773</v>
          </cell>
          <cell r="J36">
            <v>105</v>
          </cell>
          <cell r="K36">
            <v>87.9</v>
          </cell>
          <cell r="L36">
            <v>98.23790088365794</v>
          </cell>
          <cell r="M36">
            <v>100</v>
          </cell>
          <cell r="N36">
            <v>3.45</v>
          </cell>
          <cell r="O36">
            <v>9.87</v>
          </cell>
          <cell r="P36">
            <v>2.48</v>
          </cell>
          <cell r="Q36">
            <v>96.4665612919319</v>
          </cell>
          <cell r="AK36">
            <v>10.303861204416172</v>
          </cell>
          <cell r="AL36">
            <v>1E-13</v>
          </cell>
          <cell r="AM36">
            <v>1E-13</v>
          </cell>
          <cell r="AN36">
            <v>7.943282347242816</v>
          </cell>
          <cell r="AO36">
            <v>4.775292736576901E-14</v>
          </cell>
          <cell r="AP36">
            <v>5.821032177708752E-26</v>
          </cell>
          <cell r="AQ36">
            <v>1.4996848355023757</v>
          </cell>
          <cell r="AR36">
            <v>1E-13</v>
          </cell>
          <cell r="AS36">
            <v>1E-13</v>
          </cell>
          <cell r="AT36">
            <v>37.844258471709374</v>
          </cell>
          <cell r="AU36">
            <v>1.1748975549395286E-08</v>
          </cell>
          <cell r="AV36">
            <v>7.112135136533345E-35</v>
          </cell>
          <cell r="AW36">
            <v>1.4996848355023757</v>
          </cell>
          <cell r="AX36">
            <v>1E-13</v>
          </cell>
          <cell r="AY36">
            <v>1E-13</v>
          </cell>
        </row>
        <row r="37">
          <cell r="C37">
            <v>0.0874</v>
          </cell>
          <cell r="D37">
            <v>0.032</v>
          </cell>
          <cell r="E37">
            <v>0</v>
          </cell>
          <cell r="F37">
            <v>0.0812606</v>
          </cell>
          <cell r="G37">
            <v>0.0318004</v>
          </cell>
          <cell r="H37">
            <v>0</v>
          </cell>
          <cell r="I37">
            <v>178.72377170925287</v>
          </cell>
          <cell r="J37">
            <v>104.9</v>
          </cell>
          <cell r="K37">
            <v>86.3</v>
          </cell>
          <cell r="L37">
            <v>103.05864287891393</v>
          </cell>
          <cell r="M37">
            <v>100</v>
          </cell>
          <cell r="N37">
            <v>2.55</v>
          </cell>
          <cell r="O37">
            <v>7.27</v>
          </cell>
          <cell r="P37">
            <v>1.54</v>
          </cell>
          <cell r="Q37">
            <v>95.57887001943234</v>
          </cell>
          <cell r="AK37">
            <v>5.610479760324709</v>
          </cell>
          <cell r="AL37">
            <v>1E-13</v>
          </cell>
          <cell r="AM37">
            <v>1E-13</v>
          </cell>
          <cell r="AN37">
            <v>3.5563131856898553</v>
          </cell>
          <cell r="AO37">
            <v>9.527961640236522E-16</v>
          </cell>
          <cell r="AP37">
            <v>2.3173946499684915E-27</v>
          </cell>
          <cell r="AQ37">
            <v>0.5000345349769786</v>
          </cell>
          <cell r="AR37">
            <v>1E-13</v>
          </cell>
          <cell r="AS37">
            <v>1E-13</v>
          </cell>
          <cell r="AT37">
            <v>17.864875748520507</v>
          </cell>
          <cell r="AU37">
            <v>7.413102413009161E-10</v>
          </cell>
          <cell r="AV37">
            <v>4.487453899331387E-37</v>
          </cell>
          <cell r="AW37">
            <v>0.5000345349769786</v>
          </cell>
          <cell r="AX37">
            <v>1E-13</v>
          </cell>
          <cell r="AY37">
            <v>1E-13</v>
          </cell>
        </row>
        <row r="38">
          <cell r="C38">
            <v>0.04677</v>
          </cell>
          <cell r="D38">
            <v>0.017</v>
          </cell>
          <cell r="E38">
            <v>0</v>
          </cell>
          <cell r="F38">
            <v>0.0408508</v>
          </cell>
          <cell r="G38">
            <v>0.0159051</v>
          </cell>
          <cell r="H38">
            <v>0</v>
          </cell>
          <cell r="I38">
            <v>185.37926624976816</v>
          </cell>
          <cell r="J38">
            <v>103.9</v>
          </cell>
          <cell r="K38">
            <v>84</v>
          </cell>
          <cell r="L38">
            <v>99.18921398254714</v>
          </cell>
          <cell r="M38">
            <v>100</v>
          </cell>
          <cell r="N38">
            <v>1.89</v>
          </cell>
          <cell r="O38">
            <v>5.83</v>
          </cell>
          <cell r="P38">
            <v>1.46</v>
          </cell>
          <cell r="Q38">
            <v>94.62656652646577</v>
          </cell>
          <cell r="AK38">
            <v>3.090295432513592</v>
          </cell>
          <cell r="AL38">
            <v>1E-13</v>
          </cell>
          <cell r="AM38">
            <v>1E-13</v>
          </cell>
          <cell r="AN38">
            <v>1.4621771744567196</v>
          </cell>
          <cell r="AO38">
            <v>1.9010782799233046E-17</v>
          </cell>
          <cell r="AP38">
            <v>9.22571427154774E-29</v>
          </cell>
          <cell r="AQ38">
            <v>0.2999162518987651</v>
          </cell>
          <cell r="AR38">
            <v>1E-13</v>
          </cell>
          <cell r="AS38">
            <v>1E-13</v>
          </cell>
          <cell r="AT38">
            <v>7.49894209332456</v>
          </cell>
          <cell r="AU38">
            <v>4.677351412871977E-11</v>
          </cell>
          <cell r="AV38">
            <v>2.831391995799399E-39</v>
          </cell>
          <cell r="AW38">
            <v>0.2999162518987651</v>
          </cell>
          <cell r="AX38">
            <v>1E-13</v>
          </cell>
          <cell r="AY38">
            <v>1E-13</v>
          </cell>
        </row>
        <row r="39">
          <cell r="C39">
            <v>0.0227</v>
          </cell>
          <cell r="D39">
            <v>0.00821</v>
          </cell>
          <cell r="E39">
            <v>0</v>
          </cell>
          <cell r="F39">
            <v>0.0199413</v>
          </cell>
          <cell r="G39">
            <v>0.0077488</v>
          </cell>
          <cell r="H39">
            <v>0</v>
          </cell>
          <cell r="I39">
            <v>191.8757117927525</v>
          </cell>
          <cell r="J39">
            <v>101.6</v>
          </cell>
          <cell r="K39">
            <v>80.2</v>
          </cell>
          <cell r="L39">
            <v>87.42787611677464</v>
          </cell>
          <cell r="M39">
            <v>100</v>
          </cell>
          <cell r="N39">
            <v>1.53</v>
          </cell>
          <cell r="O39">
            <v>5.04</v>
          </cell>
          <cell r="P39">
            <v>2</v>
          </cell>
          <cell r="Q39">
            <v>93.61647804213015</v>
          </cell>
          <cell r="AK39">
            <v>1.541700452949561</v>
          </cell>
          <cell r="AL39">
            <v>1E-13</v>
          </cell>
          <cell r="AM39">
            <v>1E-13</v>
          </cell>
          <cell r="AN39">
            <v>0.5970352865838369</v>
          </cell>
          <cell r="AO39">
            <v>3.7931498497368226E-19</v>
          </cell>
          <cell r="AP39">
            <v>3.6728230049808876E-30</v>
          </cell>
          <cell r="AQ39">
            <v>0.14996848355023754</v>
          </cell>
          <cell r="AR39">
            <v>1E-13</v>
          </cell>
          <cell r="AS39">
            <v>1E-13</v>
          </cell>
          <cell r="AT39">
            <v>3.0974192992165834</v>
          </cell>
          <cell r="AU39">
            <v>2.9512092266663855E-12</v>
          </cell>
          <cell r="AV39">
            <v>1.78648757485205E-41</v>
          </cell>
          <cell r="AW39">
            <v>0.14996848355023754</v>
          </cell>
          <cell r="AX39">
            <v>1E-13</v>
          </cell>
          <cell r="AY39">
            <v>1E-13</v>
          </cell>
          <cell r="BE39">
            <v>0.008856451679035631</v>
          </cell>
        </row>
        <row r="40">
          <cell r="C40">
            <v>0.01135916</v>
          </cell>
          <cell r="D40">
            <v>0.004102</v>
          </cell>
          <cell r="E40">
            <v>0</v>
          </cell>
          <cell r="F40">
            <v>0.00957688</v>
          </cell>
          <cell r="G40">
            <v>0.00371774</v>
          </cell>
          <cell r="H40">
            <v>0</v>
          </cell>
          <cell r="I40">
            <v>198.20066009267015</v>
          </cell>
          <cell r="J40">
            <v>99.1</v>
          </cell>
          <cell r="K40">
            <v>76.3</v>
          </cell>
          <cell r="L40">
            <v>91.65706800962211</v>
          </cell>
          <cell r="M40">
            <v>100</v>
          </cell>
          <cell r="N40">
            <v>1.1</v>
          </cell>
          <cell r="O40">
            <v>4.12</v>
          </cell>
          <cell r="P40">
            <v>1.35</v>
          </cell>
          <cell r="Q40">
            <v>92.55502482840123</v>
          </cell>
          <cell r="AK40">
            <v>0.7961593504173191</v>
          </cell>
          <cell r="AL40">
            <v>1E-13</v>
          </cell>
          <cell r="AM40">
            <v>1E-13</v>
          </cell>
          <cell r="AN40">
            <v>0.24154608344449421</v>
          </cell>
          <cell r="AO40">
            <v>7.568328950209712E-21</v>
          </cell>
          <cell r="AP40">
            <v>1.462177174456733E-31</v>
          </cell>
          <cell r="AQ40">
            <v>0.05000345349769787</v>
          </cell>
          <cell r="AR40">
            <v>1E-13</v>
          </cell>
          <cell r="AS40">
            <v>1E-13</v>
          </cell>
          <cell r="AT40">
            <v>1.2560299636948757</v>
          </cell>
          <cell r="AU40">
            <v>1.8620871366628683E-13</v>
          </cell>
          <cell r="AV40">
            <v>1.1271974561755015E-43</v>
          </cell>
          <cell r="AW40">
            <v>0.05000345349769787</v>
          </cell>
          <cell r="AX40">
            <v>1E-13</v>
          </cell>
          <cell r="AY40">
            <v>1E-13</v>
          </cell>
          <cell r="BE40">
            <v>903.2962962962963</v>
          </cell>
        </row>
        <row r="41">
          <cell r="C41">
            <v>0.005790346</v>
          </cell>
          <cell r="D41">
            <v>0.002091</v>
          </cell>
          <cell r="E41">
            <v>0</v>
          </cell>
          <cell r="F41">
            <v>0.00455263</v>
          </cell>
          <cell r="G41">
            <v>0.00176847</v>
          </cell>
          <cell r="H41">
            <v>0</v>
          </cell>
          <cell r="I41">
            <v>204.34305897776082</v>
          </cell>
          <cell r="J41">
            <v>96.2</v>
          </cell>
          <cell r="K41">
            <v>72.4</v>
          </cell>
          <cell r="L41">
            <v>92.93751527883873</v>
          </cell>
          <cell r="M41">
            <v>100</v>
          </cell>
          <cell r="N41">
            <v>0.88</v>
          </cell>
          <cell r="O41">
            <v>3.46</v>
          </cell>
          <cell r="P41">
            <v>5.58</v>
          </cell>
          <cell r="Q41">
            <v>91.44822847010519</v>
          </cell>
          <cell r="AK41">
            <v>0.4187935651179185</v>
          </cell>
          <cell r="AL41">
            <v>1E-13</v>
          </cell>
          <cell r="AM41">
            <v>1E-13</v>
          </cell>
          <cell r="AN41">
            <v>0.09332543007969918</v>
          </cell>
          <cell r="AO41">
            <v>1.5100801541641451E-22</v>
          </cell>
          <cell r="AP41">
            <v>5.8210321777088516E-33</v>
          </cell>
          <cell r="AQ41">
            <v>0.01</v>
          </cell>
          <cell r="AR41">
            <v>1E-13</v>
          </cell>
          <cell r="AS41">
            <v>1E-13</v>
          </cell>
          <cell r="AT41">
            <v>0.4864072056914619</v>
          </cell>
          <cell r="AU41">
            <v>1.1748975549395312E-14</v>
          </cell>
          <cell r="AV41">
            <v>7.112135136533183E-46</v>
          </cell>
          <cell r="AW41">
            <v>0.01</v>
          </cell>
          <cell r="AX41">
            <v>1E-13</v>
          </cell>
          <cell r="AY41">
            <v>1E-13</v>
          </cell>
        </row>
        <row r="42">
          <cell r="C42">
            <v>0.002899327</v>
          </cell>
          <cell r="D42">
            <v>0.001047</v>
          </cell>
          <cell r="E42">
            <v>0</v>
          </cell>
          <cell r="F42">
            <v>0.00217496</v>
          </cell>
          <cell r="G42">
            <v>0.00084619</v>
          </cell>
          <cell r="H42">
            <v>0</v>
          </cell>
          <cell r="I42">
            <v>210.29321154546363</v>
          </cell>
          <cell r="J42">
            <v>92.9</v>
          </cell>
          <cell r="K42">
            <v>68.3</v>
          </cell>
          <cell r="L42">
            <v>76.89465207754102</v>
          </cell>
          <cell r="M42">
            <v>100</v>
          </cell>
          <cell r="N42">
            <v>0.68</v>
          </cell>
          <cell r="O42">
            <v>2.73</v>
          </cell>
          <cell r="P42">
            <v>0.57</v>
          </cell>
          <cell r="Q42">
            <v>90.30172248329441</v>
          </cell>
          <cell r="AK42">
            <v>0.21577444091526687</v>
          </cell>
          <cell r="AL42">
            <v>1E-13</v>
          </cell>
          <cell r="AM42">
            <v>1E-13</v>
          </cell>
          <cell r="AN42">
            <v>0.035563131856898536</v>
          </cell>
          <cell r="AO42">
            <v>3.013006024186121E-24</v>
          </cell>
          <cell r="AP42">
            <v>2.3173946499685313E-34</v>
          </cell>
          <cell r="AQ42">
            <v>1E-13</v>
          </cell>
          <cell r="AR42">
            <v>1E-13</v>
          </cell>
          <cell r="AS42">
            <v>1E-13</v>
          </cell>
          <cell r="AT42">
            <v>0.18578044550916997</v>
          </cell>
          <cell r="AU42">
            <v>7.413102413009192E-16</v>
          </cell>
          <cell r="AV42">
            <v>4.487453899331221E-48</v>
          </cell>
          <cell r="AW42">
            <v>0.001</v>
          </cell>
          <cell r="AX42">
            <v>1E-13</v>
          </cell>
          <cell r="AY42">
            <v>1E-13</v>
          </cell>
        </row>
        <row r="43">
          <cell r="C43">
            <v>0.001439971</v>
          </cell>
          <cell r="D43">
            <v>0.00052</v>
          </cell>
          <cell r="E43">
            <v>0</v>
          </cell>
          <cell r="F43">
            <v>0.00104476</v>
          </cell>
          <cell r="G43">
            <v>0.00040741</v>
          </cell>
          <cell r="H43">
            <v>0</v>
          </cell>
          <cell r="I43">
            <v>216.04272781712766</v>
          </cell>
          <cell r="J43">
            <v>89.4</v>
          </cell>
          <cell r="K43">
            <v>64.4</v>
          </cell>
          <cell r="L43">
            <v>86.55502307516902</v>
          </cell>
          <cell r="M43">
            <v>100</v>
          </cell>
          <cell r="N43">
            <v>0.56</v>
          </cell>
          <cell r="O43">
            <v>2.25</v>
          </cell>
          <cell r="P43">
            <v>0.23</v>
          </cell>
          <cell r="Q43">
            <v>89.12076472384867</v>
          </cell>
          <cell r="AK43">
            <v>0.10990058394325208</v>
          </cell>
          <cell r="AL43">
            <v>1E-13</v>
          </cell>
          <cell r="AM43">
            <v>1E-13</v>
          </cell>
          <cell r="AN43">
            <v>0.013835663789717817</v>
          </cell>
          <cell r="AO43">
            <v>6.011737374832792E-26</v>
          </cell>
          <cell r="AP43">
            <v>9.225714271547833E-36</v>
          </cell>
          <cell r="AQ43">
            <v>1E-13</v>
          </cell>
          <cell r="AR43">
            <v>1E-13</v>
          </cell>
          <cell r="AS43">
            <v>1E-13</v>
          </cell>
          <cell r="AT43">
            <v>0.07227698036021704</v>
          </cell>
          <cell r="AU43">
            <v>4.677351412872013E-17</v>
          </cell>
          <cell r="AV43">
            <v>2.831391995799294E-50</v>
          </cell>
          <cell r="AW43">
            <v>1E-13</v>
          </cell>
          <cell r="AX43">
            <v>1E-13</v>
          </cell>
          <cell r="AY43">
            <v>1E-13</v>
          </cell>
        </row>
        <row r="44">
          <cell r="C44">
            <v>0.0006900786</v>
          </cell>
          <cell r="D44">
            <v>0.0002492</v>
          </cell>
          <cell r="E44">
            <v>0</v>
          </cell>
          <cell r="F44">
            <v>0.000508258</v>
          </cell>
          <cell r="G44">
            <v>0.00019873</v>
          </cell>
          <cell r="H44">
            <v>0</v>
          </cell>
          <cell r="I44">
            <v>221.58447038274113</v>
          </cell>
          <cell r="J44">
            <v>86.9</v>
          </cell>
          <cell r="K44">
            <v>61.5</v>
          </cell>
          <cell r="L44">
            <v>92.62591564266359</v>
          </cell>
          <cell r="M44">
            <v>100</v>
          </cell>
          <cell r="N44">
            <v>0.51</v>
          </cell>
          <cell r="O44">
            <v>1.9</v>
          </cell>
          <cell r="P44">
            <v>0.24</v>
          </cell>
          <cell r="Q44">
            <v>87.91025115236073</v>
          </cell>
          <cell r="AK44">
            <v>0.05395106225151279</v>
          </cell>
          <cell r="AL44">
            <v>1E-13</v>
          </cell>
          <cell r="AM44">
            <v>1E-13</v>
          </cell>
          <cell r="AN44">
            <v>0.005508076964054035</v>
          </cell>
          <cell r="AO44">
            <v>1.1994993031493836E-27</v>
          </cell>
          <cell r="AP44">
            <v>3.672823004980923E-37</v>
          </cell>
          <cell r="AQ44">
            <v>1E-13</v>
          </cell>
          <cell r="AR44">
            <v>1E-13</v>
          </cell>
          <cell r="AS44">
            <v>1E-13</v>
          </cell>
          <cell r="AT44">
            <v>0.02811900830398942</v>
          </cell>
          <cell r="AU44">
            <v>2.951209226666397E-18</v>
          </cell>
          <cell r="AV44">
            <v>1.7864875748519838E-52</v>
          </cell>
          <cell r="AW44">
            <v>1E-13</v>
          </cell>
          <cell r="AX44">
            <v>1E-13</v>
          </cell>
          <cell r="AY44">
            <v>1E-13</v>
          </cell>
        </row>
        <row r="45">
          <cell r="C45">
            <v>0.0003323011</v>
          </cell>
          <cell r="D45">
            <v>0.00012</v>
          </cell>
          <cell r="E45">
            <v>0</v>
          </cell>
          <cell r="F45">
            <v>0.000250969</v>
          </cell>
          <cell r="G45">
            <v>9.8428E-05</v>
          </cell>
          <cell r="H45">
            <v>0</v>
          </cell>
          <cell r="I45">
            <v>226.91249541541796</v>
          </cell>
          <cell r="J45">
            <v>85.2</v>
          </cell>
          <cell r="K45">
            <v>59.2</v>
          </cell>
          <cell r="L45">
            <v>78.26849872511318</v>
          </cell>
          <cell r="M45">
            <v>100</v>
          </cell>
          <cell r="N45">
            <v>0.47</v>
          </cell>
          <cell r="O45">
            <v>1.62</v>
          </cell>
          <cell r="P45">
            <v>0.2</v>
          </cell>
          <cell r="Q45">
            <v>86.67473057740204</v>
          </cell>
          <cell r="AK45">
            <v>0.026977394324449212</v>
          </cell>
          <cell r="AL45">
            <v>1E-13</v>
          </cell>
          <cell r="AM45">
            <v>1E-13</v>
          </cell>
          <cell r="AN45">
            <v>0.002192804935350449</v>
          </cell>
          <cell r="AO45">
            <v>2.3933157564054018E-29</v>
          </cell>
          <cell r="AP45">
            <v>1.4621771744567475E-38</v>
          </cell>
          <cell r="AQ45">
            <v>1E-13</v>
          </cell>
          <cell r="AR45">
            <v>1E-13</v>
          </cell>
          <cell r="AS45">
            <v>1E-13</v>
          </cell>
          <cell r="AT45">
            <v>0.011324003632355573</v>
          </cell>
          <cell r="AU45">
            <v>1.8620871366628828E-19</v>
          </cell>
          <cell r="AV45">
            <v>1.12719745617546E-54</v>
          </cell>
          <cell r="AW45">
            <v>1E-13</v>
          </cell>
          <cell r="AX45">
            <v>1E-13</v>
          </cell>
          <cell r="AY45">
            <v>1E-13</v>
          </cell>
        </row>
        <row r="46">
          <cell r="C46">
            <v>0.0001661505</v>
          </cell>
          <cell r="D46">
            <v>6E-05</v>
          </cell>
          <cell r="E46">
            <v>0</v>
          </cell>
          <cell r="F46">
            <v>0.00012639</v>
          </cell>
          <cell r="G46">
            <v>4.9737E-05</v>
          </cell>
          <cell r="H46">
            <v>0</v>
          </cell>
          <cell r="I46">
            <v>232.0219902875015</v>
          </cell>
          <cell r="J46">
            <v>84.7</v>
          </cell>
          <cell r="K46">
            <v>58.1</v>
          </cell>
          <cell r="L46">
            <v>57.72160337742936</v>
          </cell>
          <cell r="M46">
            <v>100</v>
          </cell>
          <cell r="N46">
            <v>0.46</v>
          </cell>
          <cell r="O46">
            <v>1.45</v>
          </cell>
          <cell r="P46">
            <v>0.32</v>
          </cell>
          <cell r="Q46">
            <v>85.41842005767288</v>
          </cell>
          <cell r="AK46">
            <v>0.01399587322572618</v>
          </cell>
          <cell r="AL46">
            <v>1E-13</v>
          </cell>
          <cell r="AM46">
            <v>1E-13</v>
          </cell>
          <cell r="AN46">
            <v>0.0008729713683881116</v>
          </cell>
          <cell r="AO46">
            <v>4.775292736576947E-31</v>
          </cell>
          <cell r="AP46">
            <v>5.821032177708826E-40</v>
          </cell>
          <cell r="AQ46">
            <v>1E-13</v>
          </cell>
          <cell r="AR46">
            <v>1E-13</v>
          </cell>
          <cell r="AS46">
            <v>1E-13</v>
          </cell>
          <cell r="AT46">
            <v>0.004508167045414602</v>
          </cell>
          <cell r="AU46">
            <v>1.1748975549395359E-20</v>
          </cell>
          <cell r="AV46">
            <v>7.112135136532919E-57</v>
          </cell>
          <cell r="AW46">
            <v>1E-13</v>
          </cell>
          <cell r="AX46">
            <v>1E-13</v>
          </cell>
          <cell r="AY46">
            <v>1E-13</v>
          </cell>
        </row>
        <row r="47">
          <cell r="C47">
            <v>8.307527E-05</v>
          </cell>
          <cell r="D47">
            <v>3E-05</v>
          </cell>
          <cell r="E47">
            <v>0</v>
          </cell>
          <cell r="F47">
            <v>6.45258E-05</v>
          </cell>
          <cell r="G47">
            <v>2.5486E-05</v>
          </cell>
          <cell r="H47">
            <v>0</v>
          </cell>
          <cell r="I47">
            <v>236.90920887776366</v>
          </cell>
          <cell r="J47">
            <v>85.4</v>
          </cell>
          <cell r="K47">
            <v>58.2</v>
          </cell>
          <cell r="L47">
            <v>82.96554464503559</v>
          </cell>
          <cell r="M47">
            <v>100</v>
          </cell>
          <cell r="N47">
            <v>0.4</v>
          </cell>
          <cell r="O47">
            <v>1.17</v>
          </cell>
          <cell r="P47">
            <v>0.16</v>
          </cell>
          <cell r="Q47">
            <v>84.14522069491304</v>
          </cell>
          <cell r="AK47">
            <v>0.01</v>
          </cell>
          <cell r="AL47">
            <v>1E-13</v>
          </cell>
          <cell r="AM47">
            <v>1E-13</v>
          </cell>
          <cell r="AN47">
            <v>0.00034753616144320577</v>
          </cell>
          <cell r="AO47">
            <v>9.527961640236615E-33</v>
          </cell>
          <cell r="AP47">
            <v>2.317394649968554E-41</v>
          </cell>
          <cell r="AQ47">
            <v>1E-13</v>
          </cell>
          <cell r="AR47">
            <v>1E-13</v>
          </cell>
          <cell r="AS47">
            <v>1E-13</v>
          </cell>
          <cell r="AT47">
            <v>0.0017947336268325266</v>
          </cell>
          <cell r="AU47">
            <v>7.413102413009248E-22</v>
          </cell>
          <cell r="AV47">
            <v>4.4874538993310545E-59</v>
          </cell>
          <cell r="AW47">
            <v>1E-13</v>
          </cell>
          <cell r="AX47">
            <v>1E-13</v>
          </cell>
          <cell r="AY47">
            <v>1E-13</v>
          </cell>
        </row>
        <row r="48">
          <cell r="C48">
            <v>4.150994E-05</v>
          </cell>
          <cell r="D48">
            <v>1.499E-05</v>
          </cell>
          <cell r="E48">
            <v>0</v>
          </cell>
          <cell r="F48">
            <v>3.34117E-05</v>
          </cell>
          <cell r="G48">
            <v>1.3249E-05</v>
          </cell>
          <cell r="H48">
            <v>0</v>
          </cell>
          <cell r="I48">
            <v>241.57140552399795</v>
          </cell>
          <cell r="J48">
            <v>0</v>
          </cell>
          <cell r="K48">
            <v>0</v>
          </cell>
          <cell r="L48">
            <v>78.31323794017987</v>
          </cell>
          <cell r="M48">
            <v>100</v>
          </cell>
          <cell r="N48">
            <v>0.27</v>
          </cell>
          <cell r="O48">
            <v>0.81</v>
          </cell>
          <cell r="P48">
            <v>0.09</v>
          </cell>
          <cell r="Q48">
            <v>82.85873359441307</v>
          </cell>
          <cell r="AK48">
            <v>1E-13</v>
          </cell>
          <cell r="AL48">
            <v>1E-13</v>
          </cell>
          <cell r="AM48">
            <v>1E-13</v>
          </cell>
          <cell r="AN48">
            <v>0.00013835663789717805</v>
          </cell>
          <cell r="AO48">
            <v>1.9010782799233228E-34</v>
          </cell>
          <cell r="AP48">
            <v>9.225714271547925E-43</v>
          </cell>
          <cell r="AQ48">
            <v>1E-13</v>
          </cell>
          <cell r="AR48">
            <v>1E-13</v>
          </cell>
          <cell r="AS48">
            <v>1E-13</v>
          </cell>
          <cell r="AT48">
            <v>0.0007144963260755133</v>
          </cell>
          <cell r="AU48">
            <v>4.6773514128720146E-23</v>
          </cell>
          <cell r="AV48">
            <v>2.8313919957992296E-61</v>
          </cell>
          <cell r="AW48">
            <v>1E-13</v>
          </cell>
          <cell r="AX48">
            <v>1E-13</v>
          </cell>
          <cell r="AY48">
            <v>1E-13</v>
          </cell>
        </row>
        <row r="49">
          <cell r="C49">
            <v>2.067383E-05</v>
          </cell>
          <cell r="D49">
            <v>7.4657E-06</v>
          </cell>
          <cell r="E49">
            <v>0</v>
          </cell>
          <cell r="F49">
            <v>1.76115E-05</v>
          </cell>
          <cell r="G49">
            <v>7.0128E-06</v>
          </cell>
          <cell r="H49">
            <v>0</v>
          </cell>
          <cell r="I49">
            <v>246.0067684485255</v>
          </cell>
          <cell r="J49">
            <v>0</v>
          </cell>
          <cell r="K49">
            <v>0</v>
          </cell>
          <cell r="L49">
            <v>79.59465207754104</v>
          </cell>
          <cell r="M49">
            <v>100</v>
          </cell>
          <cell r="N49">
            <v>0</v>
          </cell>
          <cell r="O49">
            <v>0</v>
          </cell>
          <cell r="P49">
            <v>0</v>
          </cell>
          <cell r="Q49">
            <v>81.56227580912001</v>
          </cell>
          <cell r="AK49">
            <v>1E-13</v>
          </cell>
          <cell r="AL49">
            <v>1E-13</v>
          </cell>
          <cell r="AM49">
            <v>1E-13</v>
          </cell>
          <cell r="AN49">
            <v>5.508076964054033E-05</v>
          </cell>
          <cell r="AO49">
            <v>3.793149849736873E-36</v>
          </cell>
          <cell r="AP49">
            <v>3.6728230049809603E-44</v>
          </cell>
          <cell r="AQ49">
            <v>1E-13</v>
          </cell>
          <cell r="AR49">
            <v>1E-13</v>
          </cell>
          <cell r="AS49">
            <v>1E-13</v>
          </cell>
          <cell r="AT49">
            <v>0.00028444611074479153</v>
          </cell>
          <cell r="AU49">
            <v>2.951209226666419E-24</v>
          </cell>
          <cell r="AV49">
            <v>1.7864875748519433E-63</v>
          </cell>
          <cell r="AW49">
            <v>1E-13</v>
          </cell>
          <cell r="AX49">
            <v>1E-13</v>
          </cell>
          <cell r="AY49">
            <v>1E-13</v>
          </cell>
        </row>
        <row r="50">
          <cell r="C50">
            <v>1.025398E-05</v>
          </cell>
          <cell r="D50">
            <v>3.7029E-06</v>
          </cell>
          <cell r="E50">
            <v>0</v>
          </cell>
          <cell r="F50">
            <v>9.41363E-06</v>
          </cell>
          <cell r="G50">
            <v>3.76473E-06</v>
          </cell>
          <cell r="H50">
            <v>0</v>
          </cell>
          <cell r="I50">
            <v>250.2143533664808</v>
          </cell>
          <cell r="J50">
            <v>0</v>
          </cell>
          <cell r="K50">
            <v>0</v>
          </cell>
          <cell r="L50">
            <v>73.43831322629919</v>
          </cell>
          <cell r="M50">
            <v>100</v>
          </cell>
          <cell r="N50">
            <v>0</v>
          </cell>
          <cell r="O50">
            <v>0</v>
          </cell>
          <cell r="P50">
            <v>0</v>
          </cell>
          <cell r="Q50">
            <v>80.25889611727123</v>
          </cell>
          <cell r="AK50">
            <v>1E-13</v>
          </cell>
          <cell r="AL50">
            <v>1E-13</v>
          </cell>
          <cell r="AM50">
            <v>1E-13</v>
          </cell>
          <cell r="AN50">
            <v>2.1928049353504493E-05</v>
          </cell>
          <cell r="AO50">
            <v>7.568328950209759E-38</v>
          </cell>
          <cell r="AP50">
            <v>1.462177174456783E-45</v>
          </cell>
          <cell r="AQ50">
            <v>1E-13</v>
          </cell>
          <cell r="AR50">
            <v>1E-13</v>
          </cell>
          <cell r="AS50">
            <v>1E-13</v>
          </cell>
          <cell r="AT50">
            <v>0.00011324003632355565</v>
          </cell>
          <cell r="AU50">
            <v>1.8620871366628837E-25</v>
          </cell>
          <cell r="AV50">
            <v>1.1271974561754343E-65</v>
          </cell>
          <cell r="AW50">
            <v>1E-13</v>
          </cell>
          <cell r="AX50">
            <v>1E-13</v>
          </cell>
          <cell r="AY50">
            <v>1E-13</v>
          </cell>
        </row>
        <row r="51">
          <cell r="C51">
            <v>5.085868E-06</v>
          </cell>
          <cell r="D51">
            <v>1.8366E-06</v>
          </cell>
          <cell r="E51">
            <v>0</v>
          </cell>
          <cell r="F51">
            <v>5.09347E-06</v>
          </cell>
          <cell r="G51">
            <v>2.04613E-06</v>
          </cell>
          <cell r="H51">
            <v>0</v>
          </cell>
          <cell r="I51">
            <v>254.19401787860707</v>
          </cell>
          <cell r="J51">
            <v>0</v>
          </cell>
          <cell r="K51">
            <v>0</v>
          </cell>
          <cell r="L51">
            <v>63.95178887624334</v>
          </cell>
          <cell r="M51">
            <v>100</v>
          </cell>
          <cell r="N51">
            <v>0</v>
          </cell>
          <cell r="O51">
            <v>0</v>
          </cell>
          <cell r="P51">
            <v>0</v>
          </cell>
          <cell r="Q51">
            <v>78.9513905127611</v>
          </cell>
          <cell r="AK51">
            <v>1E-13</v>
          </cell>
          <cell r="AL51">
            <v>1E-13</v>
          </cell>
          <cell r="AM51">
            <v>1E-13</v>
          </cell>
          <cell r="AN51">
            <v>8.729713683881114E-06</v>
          </cell>
          <cell r="AO51">
            <v>1.5100801541641543E-39</v>
          </cell>
          <cell r="AP51">
            <v>5.821032177708967E-47</v>
          </cell>
          <cell r="AQ51">
            <v>1E-13</v>
          </cell>
          <cell r="AR51">
            <v>1E-13</v>
          </cell>
          <cell r="AS51">
            <v>1E-13</v>
          </cell>
          <cell r="AT51">
            <v>4.5081670454146E-05</v>
          </cell>
          <cell r="AU51">
            <v>1.1748975549395447E-26</v>
          </cell>
          <cell r="AV51">
            <v>7.112135136532757E-68</v>
          </cell>
          <cell r="AW51">
            <v>1E-13</v>
          </cell>
          <cell r="AX51">
            <v>1E-13</v>
          </cell>
          <cell r="AY51">
            <v>1E-13</v>
          </cell>
        </row>
        <row r="52">
          <cell r="C52">
            <v>2.522525E-06</v>
          </cell>
          <cell r="D52">
            <v>9.1093E-07</v>
          </cell>
          <cell r="E52">
            <v>0</v>
          </cell>
          <cell r="F52">
            <v>2.79531E-06</v>
          </cell>
          <cell r="G52">
            <v>1.12809E-06</v>
          </cell>
          <cell r="H52">
            <v>0</v>
          </cell>
          <cell r="I52">
            <v>257.946357151761</v>
          </cell>
          <cell r="J52">
            <v>0</v>
          </cell>
          <cell r="K52">
            <v>0</v>
          </cell>
          <cell r="L52">
            <v>70.81215987387132</v>
          </cell>
          <cell r="M52">
            <v>100</v>
          </cell>
          <cell r="N52">
            <v>0</v>
          </cell>
          <cell r="O52">
            <v>0</v>
          </cell>
          <cell r="P52">
            <v>0</v>
          </cell>
          <cell r="Q52">
            <v>77.64231731257847</v>
          </cell>
          <cell r="AK52">
            <v>1E-13</v>
          </cell>
          <cell r="AL52">
            <v>1E-13</v>
          </cell>
          <cell r="AM52">
            <v>1E-13</v>
          </cell>
          <cell r="AN52">
            <v>3.475361614432059E-06</v>
          </cell>
          <cell r="AO52">
            <v>3.013006024186097E-41</v>
          </cell>
          <cell r="AP52">
            <v>2.3173946499685773E-48</v>
          </cell>
          <cell r="AQ52">
            <v>1E-13</v>
          </cell>
          <cell r="AR52">
            <v>1E-13</v>
          </cell>
          <cell r="AS52">
            <v>1E-13</v>
          </cell>
          <cell r="AT52">
            <v>1.7947336268325267E-05</v>
          </cell>
          <cell r="AU52">
            <v>7.4131024130092505E-28</v>
          </cell>
          <cell r="AV52">
            <v>4.487453899330952E-70</v>
          </cell>
          <cell r="AW52">
            <v>1E-13</v>
          </cell>
          <cell r="AX52">
            <v>1E-13</v>
          </cell>
          <cell r="AY52">
            <v>1E-13</v>
          </cell>
        </row>
        <row r="53">
          <cell r="C53">
            <v>1.251141E-06</v>
          </cell>
          <cell r="D53">
            <v>4.5181E-07</v>
          </cell>
          <cell r="E53">
            <v>0</v>
          </cell>
          <cell r="F53">
            <v>1.55314E-06</v>
          </cell>
          <cell r="G53">
            <v>6.297E-07</v>
          </cell>
          <cell r="H53">
            <v>0</v>
          </cell>
          <cell r="I53">
            <v>261.47264130129435</v>
          </cell>
          <cell r="J53">
            <v>0</v>
          </cell>
          <cell r="K53">
            <v>0</v>
          </cell>
          <cell r="L53">
            <v>74.47902029497976</v>
          </cell>
          <cell r="M53">
            <v>100</v>
          </cell>
          <cell r="N53">
            <v>0</v>
          </cell>
          <cell r="O53">
            <v>0</v>
          </cell>
          <cell r="P53">
            <v>0</v>
          </cell>
          <cell r="Q53">
            <v>76.33401180711986</v>
          </cell>
          <cell r="AK53">
            <v>1E-13</v>
          </cell>
          <cell r="AL53">
            <v>1E-13</v>
          </cell>
          <cell r="AM53">
            <v>1E-13</v>
          </cell>
          <cell r="AN53">
            <v>1.3835663789717816E-06</v>
          </cell>
          <cell r="AO53">
            <v>6.011737374832659E-43</v>
          </cell>
          <cell r="AP53">
            <v>9.225714271548017E-50</v>
          </cell>
          <cell r="AQ53">
            <v>1E-13</v>
          </cell>
          <cell r="AR53">
            <v>1E-13</v>
          </cell>
          <cell r="AS53">
            <v>1E-13</v>
          </cell>
          <cell r="AT53">
            <v>7.1449632607551285E-06</v>
          </cell>
          <cell r="AU53">
            <v>4.67735141287205E-29</v>
          </cell>
          <cell r="AV53">
            <v>2.831391995799125E-72</v>
          </cell>
          <cell r="AW53">
            <v>1E-13</v>
          </cell>
          <cell r="AX53">
            <v>1E-13</v>
          </cell>
          <cell r="AY53">
            <v>1E-13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I110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0.75390625" style="0" bestFit="1" customWidth="1"/>
    <col min="3" max="3" width="9.00390625" style="0" bestFit="1" customWidth="1"/>
    <col min="4" max="4" width="9.875" style="0" bestFit="1" customWidth="1"/>
    <col min="6" max="6" width="22.875" style="0" bestFit="1" customWidth="1"/>
    <col min="7" max="7" width="26.25390625" style="0" bestFit="1" customWidth="1"/>
    <col min="8" max="8" width="9.375" style="0" bestFit="1" customWidth="1"/>
    <col min="9" max="12" width="6.625" style="0" bestFit="1" customWidth="1"/>
    <col min="13" max="13" width="5.875" style="0" bestFit="1" customWidth="1"/>
    <col min="14" max="21" width="5.625" style="0" bestFit="1" customWidth="1"/>
    <col min="23" max="29" width="12.00390625" style="0" bestFit="1" customWidth="1"/>
    <col min="30" max="30" width="2.875" style="0" bestFit="1" customWidth="1"/>
    <col min="31" max="35" width="12.00390625" style="0" bestFit="1" customWidth="1"/>
  </cols>
  <sheetData>
    <row r="2" ht="13.5" thickBot="1"/>
    <row r="3" spans="2:35" ht="13.5" thickBot="1">
      <c r="B3" s="119" t="s">
        <v>76</v>
      </c>
      <c r="C3" s="120"/>
      <c r="D3" s="121"/>
      <c r="E3" s="15"/>
      <c r="F3" s="122" t="s">
        <v>77</v>
      </c>
      <c r="G3" s="92" t="s">
        <v>8</v>
      </c>
      <c r="H3" s="91" t="s">
        <v>69</v>
      </c>
      <c r="I3" s="92" t="s">
        <v>70</v>
      </c>
      <c r="J3" s="91" t="s">
        <v>71</v>
      </c>
      <c r="K3" s="92" t="s">
        <v>78</v>
      </c>
      <c r="L3" s="91" t="s">
        <v>79</v>
      </c>
      <c r="M3" s="92" t="s">
        <v>80</v>
      </c>
      <c r="N3" s="92" t="s">
        <v>81</v>
      </c>
      <c r="O3" s="91" t="s">
        <v>82</v>
      </c>
      <c r="P3" s="92" t="s">
        <v>83</v>
      </c>
      <c r="Q3" s="91" t="s">
        <v>84</v>
      </c>
      <c r="R3" s="92" t="s">
        <v>85</v>
      </c>
      <c r="S3" s="91" t="s">
        <v>86</v>
      </c>
      <c r="T3" s="92" t="s">
        <v>87</v>
      </c>
      <c r="U3" s="93" t="s">
        <v>88</v>
      </c>
      <c r="V3" s="15"/>
      <c r="W3" s="15" t="s">
        <v>89</v>
      </c>
      <c r="X3" s="15" t="s">
        <v>90</v>
      </c>
      <c r="Y3" s="15" t="s">
        <v>91</v>
      </c>
      <c r="Z3" s="15" t="s">
        <v>92</v>
      </c>
      <c r="AA3" s="15" t="s">
        <v>93</v>
      </c>
      <c r="AB3" s="15" t="s">
        <v>94</v>
      </c>
      <c r="AC3" s="15" t="s">
        <v>95</v>
      </c>
      <c r="AD3" s="15" t="s">
        <v>96</v>
      </c>
      <c r="AE3" s="15" t="s">
        <v>97</v>
      </c>
      <c r="AF3" s="15" t="s">
        <v>98</v>
      </c>
      <c r="AG3" s="15" t="s">
        <v>99</v>
      </c>
      <c r="AH3" s="15" t="s">
        <v>100</v>
      </c>
      <c r="AI3" s="15" t="s">
        <v>101</v>
      </c>
    </row>
    <row r="4" spans="2:35" ht="13.5" thickBot="1">
      <c r="B4" s="123" t="s">
        <v>102</v>
      </c>
      <c r="C4" s="124"/>
      <c r="D4" s="125"/>
      <c r="E4" s="35"/>
      <c r="F4" s="126" t="s">
        <v>103</v>
      </c>
      <c r="G4" s="127" t="s">
        <v>20</v>
      </c>
      <c r="H4" s="182">
        <f>SUMPRODUCT(Sample,xObs2,Illuminant_A)/SUMPRODUCT(yObs2,Illuminant_A)</f>
        <v>0.14473023564247853</v>
      </c>
      <c r="I4" s="183">
        <f>SUMPRODUCT(Sample,yObs2,Illuminant_A)/SUMPRODUCT(yObs2,Illuminant_A)</f>
        <v>0.10862156621784487</v>
      </c>
      <c r="J4" s="182">
        <f>SUMPRODUCT(Sample,zObs2,Illuminant_A)/SUMPRODUCT(yObs2,Illuminant_A)</f>
        <v>0.020456440742428764</v>
      </c>
      <c r="K4" s="183">
        <f aca="true" t="shared" si="0" ref="K4:K23">H4/(H4+I4+J4)</f>
        <v>0.5285824643798498</v>
      </c>
      <c r="L4" s="182">
        <f aca="true" t="shared" si="1" ref="L4:L23">I4/(H4+I4+J4)</f>
        <v>0.3967067068007728</v>
      </c>
      <c r="M4" s="184">
        <f aca="true" t="shared" si="2" ref="M4:M23">116*AA4-16</f>
        <v>39.347330139353865</v>
      </c>
      <c r="N4" s="184">
        <f aca="true" t="shared" si="3" ref="N4:N23">500*(Z4-AA4)</f>
        <v>15.875578973884002</v>
      </c>
      <c r="O4" s="185">
        <f aca="true" t="shared" si="4" ref="O4:O23">200*(AA4-AB4)</f>
        <v>18.220063561644515</v>
      </c>
      <c r="P4" s="184">
        <f aca="true" t="shared" si="5" ref="P4:P23">SQRT(N4*N4+O4*O4)</f>
        <v>24.166189686137823</v>
      </c>
      <c r="Q4" s="185">
        <f aca="true" t="shared" si="6" ref="Q4:Q23">IF(ATAN2(N4,O4)&lt;0,360+(180*ATAN2(N4,O4))/PI(),(180*ATAN2(N4,O4))/PI())</f>
        <v>48.933580612878785</v>
      </c>
      <c r="R4" s="184">
        <f aca="true" t="shared" si="7" ref="R4:R23">13*M4*(AF4-AH4)</f>
        <v>30.42830179752646</v>
      </c>
      <c r="S4" s="185">
        <f aca="true" t="shared" si="8" ref="S4:S23">13*M4*(AG4-AI4)</f>
        <v>4.248131599985286</v>
      </c>
      <c r="T4" s="184">
        <f aca="true" t="shared" si="9" ref="T4:T23">SQRT(R4*R4+S4*S4)</f>
        <v>30.723414074157603</v>
      </c>
      <c r="U4" s="186">
        <f aca="true" t="shared" si="10" ref="U4:U23">IF(ATAN2(R4,S4)&lt;0,360+(180*ATAN2(R4,S4))/PI(),(180*ATAN2(R4,S4))/PI())</f>
        <v>7.947760621643049</v>
      </c>
      <c r="V4" s="15"/>
      <c r="W4" s="15">
        <f aca="true" t="shared" si="11" ref="W4:Y23">H4/AC4</f>
        <v>0.13178155666254437</v>
      </c>
      <c r="X4" s="15">
        <f t="shared" si="11"/>
        <v>0.10862156621784487</v>
      </c>
      <c r="Y4" s="15">
        <f t="shared" si="11"/>
        <v>0.057526688630613824</v>
      </c>
      <c r="Z4" s="15">
        <f aca="true" t="shared" si="12" ref="Z4:Z23">IF(W4&gt;epsilon,POWER(W4,1/3),(kappa*W4+16)/116)</f>
        <v>0.5088833143215082</v>
      </c>
      <c r="AA4" s="15">
        <f aca="true" t="shared" si="13" ref="AA4:AA23">IF(X4&gt;epsilon,POWER(X4,1/3),(kappa*X4+16)/116)</f>
        <v>0.47713215637374023</v>
      </c>
      <c r="AB4" s="15">
        <f aca="true" t="shared" si="14" ref="AB4:AB23">IF(Y4&gt;epsilon,POWER(Y4,1/3),(kappa*Y4+16)/116)</f>
        <v>0.38603183856551765</v>
      </c>
      <c r="AC4" s="15">
        <f>SUMPRODUCT(xObs2,Illuminant_A)/SUMPRODUCT(yObs2,Illuminant_A)</f>
        <v>1.0982586585548697</v>
      </c>
      <c r="AD4" s="15">
        <f>SUMPRODUCT(yObs2,Illuminant_A)/SUMPRODUCT(yObs2,Illuminant_A)</f>
        <v>1</v>
      </c>
      <c r="AE4" s="15">
        <f>SUMPRODUCT(zObs2,Illuminant_A)/SUMPRODUCT(yObs2,Illuminant_A)</f>
        <v>0.35559913545141053</v>
      </c>
      <c r="AF4" s="15">
        <f aca="true" t="shared" si="15" ref="AF4:AF23">(4*H4)/(H4+15*I4+3*J4)</f>
        <v>0.3154155344246922</v>
      </c>
      <c r="AG4" s="15">
        <f aca="true" t="shared" si="16" ref="AG4:AG23">(9*I4)/(H4+15*I4+3*J4)</f>
        <v>0.5326260315597404</v>
      </c>
      <c r="AH4" s="15">
        <f aca="true" t="shared" si="17" ref="AH4:AH23">(4*AC4)/(AC4+15*AD4+3*AE4)</f>
        <v>0.25592894177609216</v>
      </c>
      <c r="AI4" s="15">
        <f aca="true" t="shared" si="18" ref="AI4:AI23">(9*AD4)/(AC4+15*AD4+3*AE4)</f>
        <v>0.5243210372262573</v>
      </c>
    </row>
    <row r="5" spans="2:35" ht="12.75">
      <c r="B5" s="128" t="s">
        <v>9</v>
      </c>
      <c r="C5" s="172">
        <v>5000</v>
      </c>
      <c r="D5" s="125"/>
      <c r="E5" s="35"/>
      <c r="F5" s="126"/>
      <c r="G5" s="127" t="s">
        <v>21</v>
      </c>
      <c r="H5" s="182">
        <f>SUMPRODUCT(Sample,xObs2,Illuminant_B)/SUMPRODUCT(yObs2,Illuminant_B)</f>
        <v>0.11843724852763696</v>
      </c>
      <c r="I5" s="183">
        <f>SUMPRODUCT(Sample,yObs2,Illuminant_B)/SUMPRODUCT(yObs2,Illuminant_B)</f>
        <v>0.10028073244770791</v>
      </c>
      <c r="J5" s="182">
        <f>SUMPRODUCT(Sample,zObs2,Illuminant_B)/SUMPRODUCT(yObs2,Illuminant_B)</f>
        <v>0.04864569751749871</v>
      </c>
      <c r="K5" s="183">
        <f t="shared" si="0"/>
        <v>0.4429818186048301</v>
      </c>
      <c r="L5" s="182">
        <f t="shared" si="1"/>
        <v>0.3750723845998853</v>
      </c>
      <c r="M5" s="184">
        <f t="shared" si="2"/>
        <v>37.89276778584795</v>
      </c>
      <c r="N5" s="184">
        <f t="shared" si="3"/>
        <v>14.013915623235867</v>
      </c>
      <c r="O5" s="185">
        <f t="shared" si="4"/>
        <v>15.913460443816497</v>
      </c>
      <c r="P5" s="184">
        <f t="shared" si="5"/>
        <v>21.20443478124533</v>
      </c>
      <c r="Q5" s="185">
        <f t="shared" si="6"/>
        <v>48.63179513505975</v>
      </c>
      <c r="R5" s="184">
        <f t="shared" si="7"/>
        <v>26.70329883942091</v>
      </c>
      <c r="S5" s="185">
        <f t="shared" si="8"/>
        <v>12.349557086502474</v>
      </c>
      <c r="T5" s="184">
        <f t="shared" si="9"/>
        <v>29.42070239032715</v>
      </c>
      <c r="U5" s="186">
        <f t="shared" si="10"/>
        <v>24.819271111270744</v>
      </c>
      <c r="V5" s="15"/>
      <c r="W5" s="15">
        <f t="shared" si="11"/>
        <v>0.11954677295493625</v>
      </c>
      <c r="X5" s="15">
        <f t="shared" si="11"/>
        <v>0.10028073244770791</v>
      </c>
      <c r="Y5" s="15">
        <f t="shared" si="11"/>
        <v>0.05707797542413599</v>
      </c>
      <c r="Z5" s="15">
        <f t="shared" si="12"/>
        <v>0.4926206569865403</v>
      </c>
      <c r="AA5" s="15">
        <f t="shared" si="13"/>
        <v>0.46459282574006855</v>
      </c>
      <c r="AB5" s="15">
        <f t="shared" si="14"/>
        <v>0.38502552352098607</v>
      </c>
      <c r="AC5" s="15">
        <f>SUMPRODUCT(xObs2,Illuminant_B)/SUMPRODUCT(yObs2,Illuminant_B)</f>
        <v>0.9907189094287177</v>
      </c>
      <c r="AD5" s="15">
        <f>SUMPRODUCT(yObs2,Illuminant_B)/SUMPRODUCT(yObs2,Illuminant_B)</f>
        <v>1</v>
      </c>
      <c r="AE5" s="15">
        <f>SUMPRODUCT(zObs2,Illuminant_B)/SUMPRODUCT(yObs2,Illuminant_B)</f>
        <v>0.8522673965924936</v>
      </c>
      <c r="AF5" s="15">
        <f t="shared" si="15"/>
        <v>0.26786889310056494</v>
      </c>
      <c r="AG5" s="15">
        <f t="shared" si="16"/>
        <v>0.5103098944930302</v>
      </c>
      <c r="AH5" s="15">
        <f t="shared" si="17"/>
        <v>0.21366066206467205</v>
      </c>
      <c r="AI5" s="15">
        <f t="shared" si="18"/>
        <v>0.48524004646557234</v>
      </c>
    </row>
    <row r="6" spans="2:35" ht="13.5" thickBot="1">
      <c r="B6" s="97" t="s">
        <v>28</v>
      </c>
      <c r="C6" s="173">
        <v>5000</v>
      </c>
      <c r="D6" s="35"/>
      <c r="E6" s="35"/>
      <c r="F6" s="126"/>
      <c r="G6" s="127" t="s">
        <v>22</v>
      </c>
      <c r="H6" s="182">
        <f>SUMPRODUCT(Sample,xObs2,Illuminant_C)/SUMPRODUCT(yObs2,Illuminant_C)</f>
        <v>0.1110776577374061</v>
      </c>
      <c r="I6" s="183">
        <f>SUMPRODUCT(Sample,yObs2,Illuminant_C)/SUMPRODUCT(yObs2,Illuminant_C)</f>
        <v>0.09727150700645981</v>
      </c>
      <c r="J6" s="182">
        <f>SUMPRODUCT(Sample,zObs2,Illuminant_C)/SUMPRODUCT(yObs2,Illuminant_C)</f>
        <v>0.06731950995935425</v>
      </c>
      <c r="K6" s="183">
        <f t="shared" si="0"/>
        <v>0.4029389913706745</v>
      </c>
      <c r="L6" s="182">
        <f t="shared" si="1"/>
        <v>0.3528565844892625</v>
      </c>
      <c r="M6" s="184">
        <f t="shared" si="2"/>
        <v>37.34821228708744</v>
      </c>
      <c r="N6" s="184">
        <f t="shared" si="3"/>
        <v>11.988268165618349</v>
      </c>
      <c r="O6" s="185">
        <f t="shared" si="4"/>
        <v>15.010046637791529</v>
      </c>
      <c r="P6" s="184">
        <f t="shared" si="5"/>
        <v>19.20989520219866</v>
      </c>
      <c r="Q6" s="185">
        <f t="shared" si="6"/>
        <v>51.38623474854933</v>
      </c>
      <c r="R6" s="184">
        <f t="shared" si="7"/>
        <v>24.202988500930665</v>
      </c>
      <c r="S6" s="185">
        <f t="shared" si="8"/>
        <v>16.038268198746376</v>
      </c>
      <c r="T6" s="184">
        <f t="shared" si="9"/>
        <v>29.034646531189274</v>
      </c>
      <c r="U6" s="186">
        <f t="shared" si="10"/>
        <v>33.530705373347914</v>
      </c>
      <c r="V6" s="15"/>
      <c r="W6" s="15">
        <f t="shared" si="11"/>
        <v>0.11329202317015415</v>
      </c>
      <c r="X6" s="15">
        <f t="shared" si="11"/>
        <v>0.09727150700645981</v>
      </c>
      <c r="Y6" s="15">
        <f t="shared" si="11"/>
        <v>0.056999127106519165</v>
      </c>
      <c r="Z6" s="15">
        <f t="shared" si="12"/>
        <v>0.48387491811647326</v>
      </c>
      <c r="AA6" s="15">
        <f t="shared" si="13"/>
        <v>0.45989838178523657</v>
      </c>
      <c r="AB6" s="15">
        <f t="shared" si="14"/>
        <v>0.3848481485962789</v>
      </c>
      <c r="AC6" s="15">
        <f>SUMPRODUCT(xObs2,Illuminant_C)/SUMPRODUCT(yObs2,Illuminant_C)</f>
        <v>0.9804543570607591</v>
      </c>
      <c r="AD6" s="15">
        <f>SUMPRODUCT(yObs2,Illuminant_C)/SUMPRODUCT(yObs2,Illuminant_C)</f>
        <v>1</v>
      </c>
      <c r="AE6" s="15">
        <f>SUMPRODUCT(zObs2,Illuminant_C)/SUMPRODUCT(yObs2,Illuminant_C)</f>
        <v>1.181062121066319</v>
      </c>
      <c r="AF6" s="15">
        <f t="shared" si="15"/>
        <v>0.2507242403947268</v>
      </c>
      <c r="AG6" s="15">
        <f t="shared" si="16"/>
        <v>0.494012312708068</v>
      </c>
      <c r="AH6" s="15">
        <f t="shared" si="17"/>
        <v>0.20087531236801337</v>
      </c>
      <c r="AI6" s="15">
        <f t="shared" si="18"/>
        <v>0.460979595402034</v>
      </c>
    </row>
    <row r="7" spans="2:35" ht="13.5" thickBot="1">
      <c r="B7" s="35"/>
      <c r="C7" s="35"/>
      <c r="D7" s="35"/>
      <c r="E7" s="35"/>
      <c r="F7" s="126"/>
      <c r="G7" s="127" t="s">
        <v>23</v>
      </c>
      <c r="H7" s="182">
        <f>SUMPRODUCT(Sample,xObs2,Illuminant_D)/SUMPRODUCT(yObs2,Illuminant_D)</f>
        <v>0.11498590053419185</v>
      </c>
      <c r="I7" s="183">
        <f>SUMPRODUCT(Sample,yObs2,Illuminant_D)/SUMPRODUCT(yObs2,Illuminant_D)</f>
        <v>0.09939698895977203</v>
      </c>
      <c r="J7" s="182">
        <f>SUMPRODUCT(Sample,zObs2,Illuminant_D)/SUMPRODUCT(yObs2,Illuminant_D)</f>
        <v>0.046971421117420406</v>
      </c>
      <c r="K7" s="183">
        <f t="shared" si="0"/>
        <v>0.43996175255424763</v>
      </c>
      <c r="L7" s="182">
        <f t="shared" si="1"/>
        <v>0.3803150930522376</v>
      </c>
      <c r="M7" s="184">
        <f t="shared" si="2"/>
        <v>37.733986934748344</v>
      </c>
      <c r="N7" s="184">
        <f t="shared" si="3"/>
        <v>14.517341957763719</v>
      </c>
      <c r="O7" s="185">
        <f t="shared" si="4"/>
        <v>15.674068724551638</v>
      </c>
      <c r="P7" s="184">
        <f t="shared" si="5"/>
        <v>21.364214188699165</v>
      </c>
      <c r="Q7" s="185">
        <f t="shared" si="6"/>
        <v>47.19410621485207</v>
      </c>
      <c r="R7" s="184">
        <f t="shared" si="7"/>
        <v>26.562421006508025</v>
      </c>
      <c r="S7" s="185">
        <f t="shared" si="8"/>
        <v>11.739516497054973</v>
      </c>
      <c r="T7" s="184">
        <f t="shared" si="9"/>
        <v>29.04097893170278</v>
      </c>
      <c r="U7" s="186">
        <f t="shared" si="10"/>
        <v>23.843491357795052</v>
      </c>
      <c r="V7" s="15"/>
      <c r="W7" s="15">
        <f t="shared" si="11"/>
        <v>0.11928345936899036</v>
      </c>
      <c r="X7" s="15">
        <f t="shared" si="11"/>
        <v>0.09939698895977203</v>
      </c>
      <c r="Y7" s="15">
        <f t="shared" si="11"/>
        <v>0.057001585623951655</v>
      </c>
      <c r="Z7" s="15">
        <f t="shared" si="12"/>
        <v>0.49225870921508214</v>
      </c>
      <c r="AA7" s="15">
        <f t="shared" si="13"/>
        <v>0.4632240252995547</v>
      </c>
      <c r="AB7" s="15">
        <f t="shared" si="14"/>
        <v>0.3848536816767965</v>
      </c>
      <c r="AC7" s="15">
        <f>SUMPRODUCT(xObs2,Illuminant_D)/SUMPRODUCT(yObs2,Illuminant_D)</f>
        <v>0.9639718796090203</v>
      </c>
      <c r="AD7" s="15">
        <f>SUMPRODUCT(yObs2,Illuminant_D)/SUMPRODUCT(yObs2,Illuminant_D)</f>
        <v>1</v>
      </c>
      <c r="AE7" s="15">
        <f>SUMPRODUCT(zObs2,Illuminant_D)/SUMPRODUCT(yObs2,Illuminant_D)</f>
        <v>0.824037096569527</v>
      </c>
      <c r="AF7" s="15">
        <f t="shared" si="15"/>
        <v>0.26329810006488313</v>
      </c>
      <c r="AG7" s="15">
        <f t="shared" si="16"/>
        <v>0.5121048407092833</v>
      </c>
      <c r="AH7" s="15">
        <f t="shared" si="17"/>
        <v>0.20914895441854334</v>
      </c>
      <c r="AI7" s="15">
        <f t="shared" si="18"/>
        <v>0.4881731069090815</v>
      </c>
    </row>
    <row r="8" spans="2:35" ht="12.75">
      <c r="B8" s="1" t="s">
        <v>0</v>
      </c>
      <c r="C8" s="129" t="s">
        <v>104</v>
      </c>
      <c r="D8" s="130" t="s">
        <v>105</v>
      </c>
      <c r="E8" s="35"/>
      <c r="F8" s="126"/>
      <c r="G8" s="127" t="s">
        <v>24</v>
      </c>
      <c r="H8" s="182">
        <f>SUMPRODUCT(Sample,xObs2,Illuminant_E)/SUMPRODUCT(yObs2,Illuminant_E)</f>
        <v>0.11741099057059683</v>
      </c>
      <c r="I8" s="183">
        <f>SUMPRODUCT(Sample,yObs2,Illuminant_E)/SUMPRODUCT(yObs2,Illuminant_E)</f>
        <v>0.09946606418245128</v>
      </c>
      <c r="J8" s="182">
        <f>SUMPRODUCT(Sample,zObs2,Illuminant_E)/SUMPRODUCT(yObs2,Illuminant_E)</f>
        <v>0.05717885799024472</v>
      </c>
      <c r="K8" s="183">
        <f t="shared" si="0"/>
        <v>0.428419841029211</v>
      </c>
      <c r="L8" s="182">
        <f t="shared" si="1"/>
        <v>0.3629407706872604</v>
      </c>
      <c r="M8" s="184">
        <f t="shared" si="2"/>
        <v>37.74643140172926</v>
      </c>
      <c r="N8" s="184">
        <f t="shared" si="3"/>
        <v>13.181108932500685</v>
      </c>
      <c r="O8" s="185">
        <f t="shared" si="4"/>
        <v>15.600528426238004</v>
      </c>
      <c r="P8" s="184">
        <f t="shared" si="5"/>
        <v>20.42346982929956</v>
      </c>
      <c r="Q8" s="185">
        <f t="shared" si="6"/>
        <v>49.80505629199224</v>
      </c>
      <c r="R8" s="184">
        <f t="shared" si="7"/>
        <v>26.10019506179812</v>
      </c>
      <c r="S8" s="185">
        <f t="shared" si="8"/>
        <v>14.191572646555398</v>
      </c>
      <c r="T8" s="184">
        <f t="shared" si="9"/>
        <v>29.708936642807842</v>
      </c>
      <c r="U8" s="186">
        <f t="shared" si="10"/>
        <v>28.534444617152552</v>
      </c>
      <c r="V8" s="15"/>
      <c r="W8" s="15">
        <f t="shared" si="11"/>
        <v>0.1174283827001368</v>
      </c>
      <c r="X8" s="15">
        <f t="shared" si="11"/>
        <v>0.09946606418245128</v>
      </c>
      <c r="Y8" s="15">
        <f t="shared" si="11"/>
        <v>0.05721289804239927</v>
      </c>
      <c r="Z8" s="15">
        <f t="shared" si="12"/>
        <v>0.4896935230523226</v>
      </c>
      <c r="AA8" s="15">
        <f t="shared" si="13"/>
        <v>0.46333130518732124</v>
      </c>
      <c r="AB8" s="15">
        <f t="shared" si="14"/>
        <v>0.3853286630561312</v>
      </c>
      <c r="AC8" s="15">
        <f>SUMPRODUCT(xObs2,Illuminant_E)/SUMPRODUCT(yObs2,Illuminant_E)</f>
        <v>0.9998518916028641</v>
      </c>
      <c r="AD8" s="15">
        <f>SUMPRODUCT(yObs2,Illuminant_E)/SUMPRODUCT(yObs2,Illuminant_E)</f>
        <v>1</v>
      </c>
      <c r="AE8" s="15">
        <f>SUMPRODUCT(zObs2,Illuminant_E)/SUMPRODUCT(yObs2,Illuminant_E)</f>
        <v>0.9994050283534086</v>
      </c>
      <c r="AF8" s="15">
        <f t="shared" si="15"/>
        <v>0.2637058804046248</v>
      </c>
      <c r="AG8" s="15">
        <f t="shared" si="16"/>
        <v>0.5026532718174351</v>
      </c>
      <c r="AH8" s="15">
        <f t="shared" si="17"/>
        <v>0.2105165526221306</v>
      </c>
      <c r="AI8" s="15">
        <f t="shared" si="18"/>
        <v>0.4737324071472877</v>
      </c>
    </row>
    <row r="9" spans="2:35" ht="13.5" thickBot="1">
      <c r="B9" s="21" t="s">
        <v>13</v>
      </c>
      <c r="C9" s="131" t="s">
        <v>106</v>
      </c>
      <c r="D9" s="132" t="s">
        <v>8</v>
      </c>
      <c r="E9" s="15"/>
      <c r="F9" s="133"/>
      <c r="G9" s="134" t="s">
        <v>25</v>
      </c>
      <c r="H9" s="182">
        <f>SUMPRODUCT(Sample,xObs2,Illuminant_F2)/SUMPRODUCT(yObs2,Illuminant_F2)</f>
        <v>0.11447088558197448</v>
      </c>
      <c r="I9" s="183">
        <f>SUMPRODUCT(Sample,yObs2,Illuminant_F2)/SUMPRODUCT(yObs2,Illuminant_F2)</f>
        <v>0.10218892072949852</v>
      </c>
      <c r="J9" s="182">
        <f>SUMPRODUCT(Sample,zObs2,Illuminant_F2)/SUMPRODUCT(yObs2,Illuminant_F2)</f>
        <v>0.03178933934707204</v>
      </c>
      <c r="K9" s="183">
        <f t="shared" si="0"/>
        <v>0.460741715486907</v>
      </c>
      <c r="L9" s="182">
        <f t="shared" si="1"/>
        <v>0.41130719310237196</v>
      </c>
      <c r="M9" s="184">
        <f t="shared" si="2"/>
        <v>38.23245443188287</v>
      </c>
      <c r="N9" s="184">
        <f t="shared" si="3"/>
        <v>9.98131845988004</v>
      </c>
      <c r="O9" s="185">
        <f t="shared" si="4"/>
        <v>16.55028872378358</v>
      </c>
      <c r="P9" s="184">
        <f t="shared" si="5"/>
        <v>19.327151239594002</v>
      </c>
      <c r="Q9" s="185">
        <f t="shared" si="6"/>
        <v>58.90622926299791</v>
      </c>
      <c r="R9" s="184">
        <f t="shared" si="7"/>
        <v>19.36637885956027</v>
      </c>
      <c r="S9" s="185">
        <f t="shared" si="8"/>
        <v>9.042275138085996</v>
      </c>
      <c r="T9" s="184">
        <f t="shared" si="9"/>
        <v>21.373333146818048</v>
      </c>
      <c r="U9" s="186">
        <f t="shared" si="10"/>
        <v>25.028144811500468</v>
      </c>
      <c r="V9" s="15"/>
      <c r="W9" s="15">
        <f t="shared" si="11"/>
        <v>0.11584586918170374</v>
      </c>
      <c r="X9" s="15">
        <f t="shared" si="11"/>
        <v>0.10218892072949852</v>
      </c>
      <c r="Y9" s="15">
        <f t="shared" si="11"/>
        <v>0.05696428437928776</v>
      </c>
      <c r="Z9" s="15">
        <f t="shared" si="12"/>
        <v>0.4874837958153021</v>
      </c>
      <c r="AA9" s="15">
        <f t="shared" si="13"/>
        <v>0.467521158895542</v>
      </c>
      <c r="AB9" s="15">
        <f t="shared" si="14"/>
        <v>0.3847697152766241</v>
      </c>
      <c r="AC9" s="15">
        <f>SUMPRODUCT(xObs2,Illuminant_F2)/SUMPRODUCT(yObs2,Illuminant_F2)</f>
        <v>0.9881309224969204</v>
      </c>
      <c r="AD9" s="15">
        <f>SUMPRODUCT(yObs2,Illuminant_F2)/SUMPRODUCT(yObs2,Illuminant_F2)</f>
        <v>1</v>
      </c>
      <c r="AE9" s="15">
        <f>SUMPRODUCT(zObs2,Illuminant_F2)/SUMPRODUCT(yObs2,Illuminant_F2)</f>
        <v>0.5580573809267524</v>
      </c>
      <c r="AF9" s="15">
        <f t="shared" si="15"/>
        <v>0.2627478691212639</v>
      </c>
      <c r="AG9" s="15">
        <f t="shared" si="16"/>
        <v>0.5277527322706181</v>
      </c>
      <c r="AH9" s="15">
        <f t="shared" si="17"/>
        <v>0.22378302961849073</v>
      </c>
      <c r="AI9" s="15">
        <f t="shared" si="18"/>
        <v>0.5095598216573102</v>
      </c>
    </row>
    <row r="10" spans="2:35" ht="12.75">
      <c r="B10" s="41">
        <v>340</v>
      </c>
      <c r="C10" s="174">
        <v>0</v>
      </c>
      <c r="D10" s="175">
        <v>1</v>
      </c>
      <c r="E10" s="15"/>
      <c r="F10" s="133"/>
      <c r="G10" s="134" t="s">
        <v>26</v>
      </c>
      <c r="H10" s="182">
        <f>SUMPRODUCT(Sample,xObs2,Illuminant_F7)/SUMPRODUCT(yObs2,Illuminant_F7)</f>
        <v>0.10781969151722746</v>
      </c>
      <c r="I10" s="183">
        <f>SUMPRODUCT(Sample,yObs2,Illuminant_F7)/SUMPRODUCT(yObs2,Illuminant_F7)</f>
        <v>0.09750074767423214</v>
      </c>
      <c r="J10" s="182">
        <f>SUMPRODUCT(Sample,zObs2,Illuminant_F7)/SUMPRODUCT(yObs2,Illuminant_F7)</f>
        <v>0.055280308798703916</v>
      </c>
      <c r="K10" s="183">
        <f t="shared" si="0"/>
        <v>0.41373515751112566</v>
      </c>
      <c r="L10" s="182">
        <f t="shared" si="1"/>
        <v>0.3741384030022521</v>
      </c>
      <c r="M10" s="184">
        <f t="shared" si="2"/>
        <v>37.39008815103349</v>
      </c>
      <c r="N10" s="184">
        <f t="shared" si="3"/>
        <v>12.189537883454282</v>
      </c>
      <c r="O10" s="185">
        <f t="shared" si="4"/>
        <v>15.131051271710161</v>
      </c>
      <c r="P10" s="184">
        <f t="shared" si="5"/>
        <v>19.430222499994404</v>
      </c>
      <c r="Q10" s="185">
        <f t="shared" si="6"/>
        <v>51.14516637423344</v>
      </c>
      <c r="R10" s="184">
        <f t="shared" si="7"/>
        <v>23.107884824025398</v>
      </c>
      <c r="S10" s="185">
        <f t="shared" si="8"/>
        <v>13.747799101404713</v>
      </c>
      <c r="T10" s="184">
        <f t="shared" si="9"/>
        <v>26.88821900336665</v>
      </c>
      <c r="U10" s="186">
        <f t="shared" si="10"/>
        <v>30.75009577785226</v>
      </c>
      <c r="V10" s="15"/>
      <c r="W10" s="15">
        <f t="shared" si="11"/>
        <v>0.11382918284674394</v>
      </c>
      <c r="X10" s="15">
        <f t="shared" si="11"/>
        <v>0.09750074767423214</v>
      </c>
      <c r="Y10" s="15">
        <f t="shared" si="11"/>
        <v>0.056890769899356264</v>
      </c>
      <c r="Z10" s="15">
        <f t="shared" si="12"/>
        <v>0.4846384563792662</v>
      </c>
      <c r="AA10" s="15">
        <f t="shared" si="13"/>
        <v>0.46025938061235766</v>
      </c>
      <c r="AB10" s="15">
        <f t="shared" si="14"/>
        <v>0.38460412425380686</v>
      </c>
      <c r="AC10" s="15">
        <f>SUMPRODUCT(xObs2,Illuminant_F7)/SUMPRODUCT(yObs2,Illuminant_F7)</f>
        <v>0.947206057539678</v>
      </c>
      <c r="AD10" s="15">
        <f>SUMPRODUCT(yObs2,Illuminant_F7)/SUMPRODUCT(yObs2,Illuminant_F7)</f>
        <v>1</v>
      </c>
      <c r="AE10" s="15">
        <f>SUMPRODUCT(zObs2,Illuminant_F7)/SUMPRODUCT(yObs2,Illuminant_F7)</f>
        <v>0.9716920494572078</v>
      </c>
      <c r="AF10" s="15">
        <f t="shared" si="15"/>
        <v>0.2484078809855034</v>
      </c>
      <c r="AG10" s="15">
        <f t="shared" si="16"/>
        <v>0.5054261982457431</v>
      </c>
      <c r="AH10" s="15">
        <f t="shared" si="17"/>
        <v>0.20086775231108156</v>
      </c>
      <c r="AI10" s="15">
        <f t="shared" si="18"/>
        <v>0.4771426862216846</v>
      </c>
    </row>
    <row r="11" spans="2:35" ht="12.75">
      <c r="B11" s="41">
        <v>350</v>
      </c>
      <c r="C11" s="174">
        <v>0</v>
      </c>
      <c r="D11" s="175">
        <v>1</v>
      </c>
      <c r="E11" s="15"/>
      <c r="F11" s="133"/>
      <c r="G11" s="134" t="s">
        <v>27</v>
      </c>
      <c r="H11" s="182">
        <f>SUMPRODUCT(Sample,xObs2,Illuminant_F11)/SUMPRODUCT(yObs2,Illuminant_F11)</f>
        <v>0.12604927212049039</v>
      </c>
      <c r="I11" s="183">
        <f>SUMPRODUCT(Sample,yObs2,Illuminant_F11)/SUMPRODUCT(yObs2,Illuminant_F11)</f>
        <v>0.10287135875485454</v>
      </c>
      <c r="J11" s="182">
        <f>SUMPRODUCT(Sample,zObs2,Illuminant_F11)/SUMPRODUCT(yObs2,Illuminant_F11)</f>
        <v>0.029293972149134023</v>
      </c>
      <c r="K11" s="183">
        <f t="shared" si="0"/>
        <v>0.48815702382463944</v>
      </c>
      <c r="L11" s="182">
        <f t="shared" si="1"/>
        <v>0.39839481404195504</v>
      </c>
      <c r="M11" s="184">
        <f t="shared" si="2"/>
        <v>38.35291173714725</v>
      </c>
      <c r="N11" s="184">
        <f t="shared" si="3"/>
        <v>13.855719607342776</v>
      </c>
      <c r="O11" s="185">
        <f t="shared" si="4"/>
        <v>16.814578760203812</v>
      </c>
      <c r="P11" s="184">
        <f t="shared" si="5"/>
        <v>21.787864161509734</v>
      </c>
      <c r="Q11" s="185">
        <f t="shared" si="6"/>
        <v>50.51044905811363</v>
      </c>
      <c r="R11" s="184">
        <f t="shared" si="7"/>
        <v>26.065357977542938</v>
      </c>
      <c r="S11" s="185">
        <f t="shared" si="8"/>
        <v>7.441474680109778</v>
      </c>
      <c r="T11" s="184">
        <f t="shared" si="9"/>
        <v>27.106796784426155</v>
      </c>
      <c r="U11" s="186">
        <f t="shared" si="10"/>
        <v>15.933668150924825</v>
      </c>
      <c r="V11" s="15"/>
      <c r="W11" s="15">
        <f t="shared" si="11"/>
        <v>0.12222407341674309</v>
      </c>
      <c r="X11" s="15">
        <f t="shared" si="11"/>
        <v>0.10287135875485454</v>
      </c>
      <c r="Y11" s="15">
        <f t="shared" si="11"/>
        <v>0.05683867313021143</v>
      </c>
      <c r="Z11" s="15">
        <f t="shared" si="12"/>
        <v>0.49627102315561017</v>
      </c>
      <c r="AA11" s="15">
        <f t="shared" si="13"/>
        <v>0.4685595839409246</v>
      </c>
      <c r="AB11" s="15">
        <f t="shared" si="14"/>
        <v>0.38448669013990555</v>
      </c>
      <c r="AC11" s="15">
        <f>SUMPRODUCT(xObs2,Illuminant_F11)/SUMPRODUCT(yObs2,Illuminant_F11)</f>
        <v>1.031296606280701</v>
      </c>
      <c r="AD11" s="15">
        <f>SUMPRODUCT(yObs2,Illuminant_F11)/SUMPRODUCT(yObs2,Illuminant_F11)</f>
        <v>1</v>
      </c>
      <c r="AE11" s="15">
        <f>SUMPRODUCT(zObs2,Illuminant_F11)/SUMPRODUCT(yObs2,Illuminant_F11)</f>
        <v>0.515388036628241</v>
      </c>
      <c r="AF11" s="15">
        <f t="shared" si="15"/>
        <v>0.286964506533323</v>
      </c>
      <c r="AG11" s="15">
        <f t="shared" si="16"/>
        <v>0.526944451649682</v>
      </c>
      <c r="AH11" s="15">
        <f t="shared" si="17"/>
        <v>0.23468614106069385</v>
      </c>
      <c r="AI11" s="15">
        <f t="shared" si="18"/>
        <v>0.5120193494002799</v>
      </c>
    </row>
    <row r="12" spans="2:35" ht="12.75">
      <c r="B12" s="60">
        <v>360</v>
      </c>
      <c r="C12" s="176">
        <v>0</v>
      </c>
      <c r="D12" s="177">
        <v>1</v>
      </c>
      <c r="E12" s="15"/>
      <c r="F12" s="126"/>
      <c r="G12" s="127" t="s">
        <v>28</v>
      </c>
      <c r="H12" s="182">
        <f>SUMPRODUCT(Sample,xObs2,Blackbody)/SUMPRODUCT(yObs2,Blackbody)</f>
        <v>0.11666095807454156</v>
      </c>
      <c r="I12" s="183">
        <f>SUMPRODUCT(Sample,yObs2,Blackbody)/SUMPRODUCT(yObs2,Blackbody)</f>
        <v>0.09978372652794344</v>
      </c>
      <c r="J12" s="182">
        <f>SUMPRODUCT(Sample,zObs2,Blackbody)/SUMPRODUCT(yObs2,Blackbody)</f>
        <v>0.04929726053181544</v>
      </c>
      <c r="K12" s="183">
        <f t="shared" si="0"/>
        <v>0.43900091878827613</v>
      </c>
      <c r="L12" s="182">
        <f t="shared" si="1"/>
        <v>0.37549106701057233</v>
      </c>
      <c r="M12" s="184">
        <f t="shared" si="2"/>
        <v>37.80358682232788</v>
      </c>
      <c r="N12" s="184">
        <f t="shared" si="3"/>
        <v>13.944356003996239</v>
      </c>
      <c r="O12" s="185">
        <f t="shared" si="4"/>
        <v>15.70153273175061</v>
      </c>
      <c r="P12" s="184">
        <f t="shared" si="5"/>
        <v>20.99959986505509</v>
      </c>
      <c r="Q12" s="185">
        <f t="shared" si="6"/>
        <v>48.39207766091866</v>
      </c>
      <c r="R12" s="184">
        <f t="shared" si="7"/>
        <v>26.308736420341905</v>
      </c>
      <c r="S12" s="185">
        <f t="shared" si="8"/>
        <v>12.351792598638704</v>
      </c>
      <c r="T12" s="184">
        <f t="shared" si="9"/>
        <v>29.06400509969007</v>
      </c>
      <c r="U12" s="186">
        <f t="shared" si="10"/>
        <v>25.149771440956396</v>
      </c>
      <c r="V12" s="15"/>
      <c r="W12" s="15">
        <f t="shared" si="11"/>
        <v>0.11888700120348106</v>
      </c>
      <c r="X12" s="15">
        <f t="shared" si="11"/>
        <v>0.09978372652794344</v>
      </c>
      <c r="Y12" s="15">
        <f t="shared" si="11"/>
        <v>0.05720741831043908</v>
      </c>
      <c r="Z12" s="15">
        <f t="shared" si="12"/>
        <v>0.49171273633840523</v>
      </c>
      <c r="AA12" s="15">
        <f t="shared" si="13"/>
        <v>0.46382402433041275</v>
      </c>
      <c r="AB12" s="15">
        <f t="shared" si="14"/>
        <v>0.3853163606716597</v>
      </c>
      <c r="AC12" s="15">
        <f>SUMPRODUCT(xObs2,Blackbody)/SUMPRODUCT(yObs2,Blackbody)</f>
        <v>0.9812759754522741</v>
      </c>
      <c r="AD12" s="15">
        <f>SUMPRODUCT(yObs2,Blackbody)/SUMPRODUCT(yObs2,Blackbody)</f>
        <v>1</v>
      </c>
      <c r="AE12" s="15">
        <f>SUMPRODUCT(zObs2,Blackbody)/SUMPRODUCT(yObs2,Blackbody)</f>
        <v>0.8617284608842379</v>
      </c>
      <c r="AF12" s="15">
        <f t="shared" si="15"/>
        <v>0.26494154535965</v>
      </c>
      <c r="AG12" s="15">
        <f t="shared" si="16"/>
        <v>0.5098785752738584</v>
      </c>
      <c r="AH12" s="15">
        <f t="shared" si="17"/>
        <v>0.21140829294838323</v>
      </c>
      <c r="AI12" s="15">
        <f t="shared" si="18"/>
        <v>0.48474503710806194</v>
      </c>
    </row>
    <row r="13" spans="2:35" ht="12.75">
      <c r="B13" s="60">
        <v>370</v>
      </c>
      <c r="C13" s="176">
        <v>0</v>
      </c>
      <c r="D13" s="177">
        <v>1</v>
      </c>
      <c r="E13" s="15"/>
      <c r="F13" s="135"/>
      <c r="G13" s="136" t="s">
        <v>105</v>
      </c>
      <c r="H13" s="187">
        <f>SUMPRODUCT(Sample,xObs2,Custom_Illuminant)/SUMPRODUCT(yObs2,Custom_Illuminant)</f>
        <v>0.11741099057059683</v>
      </c>
      <c r="I13" s="188">
        <f>SUMPRODUCT(Sample,yObs2,Custom_Illuminant)/SUMPRODUCT(yObs2,Custom_Illuminant)</f>
        <v>0.09946606418245132</v>
      </c>
      <c r="J13" s="189">
        <f>SUMPRODUCT(Sample,zObs2,Custom_Illuminant)/SUMPRODUCT(yObs2,Custom_Illuminant)</f>
        <v>0.057178857990244726</v>
      </c>
      <c r="K13" s="188">
        <f t="shared" si="0"/>
        <v>0.4284198410292109</v>
      </c>
      <c r="L13" s="190">
        <f t="shared" si="1"/>
        <v>0.36294077068726044</v>
      </c>
      <c r="M13" s="191">
        <f t="shared" si="2"/>
        <v>37.74643140172926</v>
      </c>
      <c r="N13" s="191">
        <f t="shared" si="3"/>
        <v>13.181108932500656</v>
      </c>
      <c r="O13" s="191">
        <f t="shared" si="4"/>
        <v>15.600528426238025</v>
      </c>
      <c r="P13" s="191">
        <f t="shared" si="5"/>
        <v>20.423469829299556</v>
      </c>
      <c r="Q13" s="191">
        <f t="shared" si="6"/>
        <v>49.80505629199234</v>
      </c>
      <c r="R13" s="191">
        <f t="shared" si="7"/>
        <v>26.100195061797997</v>
      </c>
      <c r="S13" s="192">
        <f t="shared" si="8"/>
        <v>14.191572646555398</v>
      </c>
      <c r="T13" s="191">
        <f t="shared" si="9"/>
        <v>29.708936642807732</v>
      </c>
      <c r="U13" s="193">
        <f t="shared" si="10"/>
        <v>28.534444617152662</v>
      </c>
      <c r="V13" s="15"/>
      <c r="W13" s="15">
        <f t="shared" si="11"/>
        <v>0.11742838270013672</v>
      </c>
      <c r="X13" s="15">
        <f t="shared" si="11"/>
        <v>0.09946606418245132</v>
      </c>
      <c r="Y13" s="15">
        <f t="shared" si="11"/>
        <v>0.05721289804239925</v>
      </c>
      <c r="Z13" s="15">
        <f t="shared" si="12"/>
        <v>0.48969352305232255</v>
      </c>
      <c r="AA13" s="15">
        <f t="shared" si="13"/>
        <v>0.46333130518732124</v>
      </c>
      <c r="AB13" s="15">
        <f t="shared" si="14"/>
        <v>0.3853286630561311</v>
      </c>
      <c r="AC13" s="15">
        <f>SUMPRODUCT(xObs2,Custom_Illuminant)/SUMPRODUCT(yObs2,Custom_Illuminant)</f>
        <v>0.9998518916028648</v>
      </c>
      <c r="AD13" s="15">
        <f>SUMPRODUCT(yObs2,Custom_Illuminant)/SUMPRODUCT(yObs2,Custom_Illuminant)</f>
        <v>1</v>
      </c>
      <c r="AE13" s="15">
        <f>SUMPRODUCT(zObs2,Custom_Illuminant)/SUMPRODUCT(yObs2,Custom_Illuminant)</f>
        <v>0.999405028353409</v>
      </c>
      <c r="AF13" s="15">
        <f t="shared" si="15"/>
        <v>0.26370588040462467</v>
      </c>
      <c r="AG13" s="15">
        <f t="shared" si="16"/>
        <v>0.5026532718174351</v>
      </c>
      <c r="AH13" s="15">
        <f t="shared" si="17"/>
        <v>0.21051655262213073</v>
      </c>
      <c r="AI13" s="15">
        <f t="shared" si="18"/>
        <v>0.4737324071472877</v>
      </c>
    </row>
    <row r="14" spans="2:35" ht="12.75">
      <c r="B14" s="60">
        <v>380</v>
      </c>
      <c r="C14" s="176">
        <v>0</v>
      </c>
      <c r="D14" s="177">
        <v>1</v>
      </c>
      <c r="E14" s="15"/>
      <c r="F14" s="126" t="s">
        <v>107</v>
      </c>
      <c r="G14" s="127" t="s">
        <v>20</v>
      </c>
      <c r="H14" s="182">
        <f>SUMPRODUCT(Sample,xObs10,Illuminant_A)/SUMPRODUCT(yObs10,Illuminant_A)</f>
        <v>0.14335764970959</v>
      </c>
      <c r="I14" s="183">
        <f>SUMPRODUCT(Sample,yObs10,Illuminant_A)/SUMPRODUCT(yObs10,Illuminant_A)</f>
        <v>0.10726924679579508</v>
      </c>
      <c r="J14" s="182">
        <f>SUMPRODUCT(Sample,zObs10,Illuminant_A)/SUMPRODUCT(yObs10,Illuminant_A)</f>
        <v>0.020149158901987933</v>
      </c>
      <c r="K14" s="183">
        <f t="shared" si="0"/>
        <v>0.529432521254191</v>
      </c>
      <c r="L14" s="182">
        <f t="shared" si="1"/>
        <v>0.3961548469801449</v>
      </c>
      <c r="M14" s="184">
        <f t="shared" si="2"/>
        <v>39.11668211897397</v>
      </c>
      <c r="N14" s="184">
        <f t="shared" si="3"/>
        <v>15.052171203532861</v>
      </c>
      <c r="O14" s="185">
        <f t="shared" si="4"/>
        <v>17.95499291565147</v>
      </c>
      <c r="P14" s="184">
        <f t="shared" si="5"/>
        <v>23.42967410233353</v>
      </c>
      <c r="Q14" s="185">
        <f t="shared" si="6"/>
        <v>50.0259579931776</v>
      </c>
      <c r="R14" s="184">
        <f t="shared" si="7"/>
        <v>29.15959716319264</v>
      </c>
      <c r="S14" s="185">
        <f t="shared" si="8"/>
        <v>4.223704270712176</v>
      </c>
      <c r="T14" s="184">
        <f t="shared" si="9"/>
        <v>29.463906470223947</v>
      </c>
      <c r="U14" s="186">
        <f t="shared" si="10"/>
        <v>8.241847685163158</v>
      </c>
      <c r="V14" s="15"/>
      <c r="W14" s="15">
        <f t="shared" si="11"/>
        <v>0.12897757456077627</v>
      </c>
      <c r="X14" s="15">
        <f t="shared" si="11"/>
        <v>0.10726924679579508</v>
      </c>
      <c r="Y14" s="15">
        <f t="shared" si="11"/>
        <v>0.05723079913289521</v>
      </c>
      <c r="Z14" s="15">
        <f t="shared" si="12"/>
        <v>0.505248153777531</v>
      </c>
      <c r="AA14" s="15">
        <f t="shared" si="13"/>
        <v>0.47514381137046524</v>
      </c>
      <c r="AB14" s="15">
        <f t="shared" si="14"/>
        <v>0.3853688467922079</v>
      </c>
      <c r="AC14" s="15">
        <f>SUMPRODUCT(xObs10,Illuminant_A)/SUMPRODUCT(yObs10,Illuminant_A)</f>
        <v>1.111492832748515</v>
      </c>
      <c r="AD14" s="15">
        <f>SUMPRODUCT(yObs10,Illuminant_A)/SUMPRODUCT(yObs10,Illuminant_A)</f>
        <v>1</v>
      </c>
      <c r="AE14" s="15">
        <f>SUMPRODUCT(zObs10,Illuminant_A)/SUMPRODUCT(yObs10,Illuminant_A)</f>
        <v>0.3520684527783672</v>
      </c>
      <c r="AF14" s="15">
        <f t="shared" si="15"/>
        <v>0.3163154982630225</v>
      </c>
      <c r="AG14" s="15">
        <f t="shared" si="16"/>
        <v>0.5325462712579805</v>
      </c>
      <c r="AH14" s="15">
        <f t="shared" si="17"/>
        <v>0.258973059842301</v>
      </c>
      <c r="AI14" s="15">
        <f t="shared" si="18"/>
        <v>0.5242403436865128</v>
      </c>
    </row>
    <row r="15" spans="2:35" ht="12.75">
      <c r="B15" s="67">
        <v>390</v>
      </c>
      <c r="C15" s="178">
        <v>0</v>
      </c>
      <c r="D15" s="179">
        <v>1</v>
      </c>
      <c r="E15" s="15"/>
      <c r="F15" s="126"/>
      <c r="G15" s="127" t="s">
        <v>21</v>
      </c>
      <c r="H15" s="182">
        <f>SUMPRODUCT(Sample,xObs10,Illuminant_B)/SUMPRODUCT(yObs10,Illuminant_B)</f>
        <v>0.11591150497570381</v>
      </c>
      <c r="I15" s="183">
        <f>SUMPRODUCT(Sample,yObs10,Illuminant_B)/SUMPRODUCT(yObs10,Illuminant_B)</f>
        <v>0.09795656598436835</v>
      </c>
      <c r="J15" s="182">
        <f>SUMPRODUCT(Sample,zObs10,Illuminant_B)/SUMPRODUCT(yObs10,Illuminant_B)</f>
        <v>0.048141809568004124</v>
      </c>
      <c r="K15" s="183">
        <f t="shared" si="0"/>
        <v>0.44239364081265264</v>
      </c>
      <c r="L15" s="182">
        <f t="shared" si="1"/>
        <v>0.3738659236321112</v>
      </c>
      <c r="M15" s="184">
        <f t="shared" si="2"/>
        <v>37.47315880931981</v>
      </c>
      <c r="N15" s="184">
        <f t="shared" si="3"/>
        <v>13.948513241626381</v>
      </c>
      <c r="O15" s="185">
        <f t="shared" si="4"/>
        <v>15.191232011420563</v>
      </c>
      <c r="P15" s="184">
        <f t="shared" si="5"/>
        <v>20.623640601907205</v>
      </c>
      <c r="Q15" s="185">
        <f t="shared" si="6"/>
        <v>47.442005597415864</v>
      </c>
      <c r="R15" s="184">
        <f t="shared" si="7"/>
        <v>26.21483131865048</v>
      </c>
      <c r="S15" s="185">
        <f t="shared" si="8"/>
        <v>11.593160688548313</v>
      </c>
      <c r="T15" s="184">
        <f t="shared" si="9"/>
        <v>28.66389289360048</v>
      </c>
      <c r="U15" s="186">
        <f t="shared" si="10"/>
        <v>23.856773454022534</v>
      </c>
      <c r="V15" s="15"/>
      <c r="W15" s="15">
        <f t="shared" si="11"/>
        <v>0.11683875305390433</v>
      </c>
      <c r="X15" s="15">
        <f t="shared" si="11"/>
        <v>0.09795656598436835</v>
      </c>
      <c r="Y15" s="15">
        <f t="shared" si="11"/>
        <v>0.057075228523886114</v>
      </c>
      <c r="Z15" s="15">
        <f t="shared" si="12"/>
        <v>0.4888725334601477</v>
      </c>
      <c r="AA15" s="15">
        <f t="shared" si="13"/>
        <v>0.46097550697689493</v>
      </c>
      <c r="AB15" s="15">
        <f t="shared" si="14"/>
        <v>0.3850193469197921</v>
      </c>
      <c r="AC15" s="15">
        <f>SUMPRODUCT(xObs10,Illuminant_B)/SUMPRODUCT(yObs10,Illuminant_B)</f>
        <v>0.9920638653360779</v>
      </c>
      <c r="AD15" s="15">
        <f>SUMPRODUCT(yObs10,Illuminant_B)/SUMPRODUCT(yObs10,Illuminant_B)</f>
        <v>1</v>
      </c>
      <c r="AE15" s="15">
        <f>SUMPRODUCT(zObs10,Illuminant_B)/SUMPRODUCT(yObs10,Illuminant_B)</f>
        <v>0.8434799266350141</v>
      </c>
      <c r="AF15" s="15">
        <f t="shared" si="15"/>
        <v>0.26805222129889417</v>
      </c>
      <c r="AG15" s="15">
        <f t="shared" si="16"/>
        <v>0.5096933129628268</v>
      </c>
      <c r="AH15" s="15">
        <f t="shared" si="17"/>
        <v>0.21423969120739533</v>
      </c>
      <c r="AI15" s="15">
        <f t="shared" si="18"/>
        <v>0.4858954368359549</v>
      </c>
    </row>
    <row r="16" spans="2:35" ht="12.75">
      <c r="B16" s="60">
        <v>400</v>
      </c>
      <c r="C16" s="176">
        <v>0.064102</v>
      </c>
      <c r="D16" s="177">
        <v>1</v>
      </c>
      <c r="E16" s="15"/>
      <c r="F16" s="126"/>
      <c r="G16" s="127" t="s">
        <v>22</v>
      </c>
      <c r="H16" s="182">
        <f>SUMPRODUCT(Sample,xObs10,Illuminant_C)/SUMPRODUCT(yObs10,Illuminant_C)</f>
        <v>0.10776161441132497</v>
      </c>
      <c r="I16" s="183">
        <f>SUMPRODUCT(Sample,yObs10,Illuminant_C)/SUMPRODUCT(yObs10,Illuminant_C)</f>
        <v>0.09450357744181913</v>
      </c>
      <c r="J16" s="182">
        <f>SUMPRODUCT(Sample,zObs10,Illuminant_C)/SUMPRODUCT(yObs10,Illuminant_C)</f>
        <v>0.06629085162918257</v>
      </c>
      <c r="K16" s="183">
        <f t="shared" si="0"/>
        <v>0.40126303997480745</v>
      </c>
      <c r="L16" s="182">
        <f t="shared" si="1"/>
        <v>0.3518951806721799</v>
      </c>
      <c r="M16" s="184">
        <f t="shared" si="2"/>
        <v>36.837314839558466</v>
      </c>
      <c r="N16" s="184">
        <f t="shared" si="3"/>
        <v>12.371545455382964</v>
      </c>
      <c r="O16" s="185">
        <f t="shared" si="4"/>
        <v>14.092827037268007</v>
      </c>
      <c r="P16" s="184">
        <f t="shared" si="5"/>
        <v>18.752677431688497</v>
      </c>
      <c r="Q16" s="185">
        <f t="shared" si="6"/>
        <v>48.72135979406779</v>
      </c>
      <c r="R16" s="184">
        <f t="shared" si="7"/>
        <v>23.93324144996635</v>
      </c>
      <c r="S16" s="185">
        <f t="shared" si="8"/>
        <v>14.719770505321152</v>
      </c>
      <c r="T16" s="184">
        <f t="shared" si="9"/>
        <v>28.09753886075629</v>
      </c>
      <c r="U16" s="186">
        <f t="shared" si="10"/>
        <v>31.59295220536395</v>
      </c>
      <c r="V16" s="15"/>
      <c r="W16" s="15">
        <f t="shared" si="11"/>
        <v>0.11075602284892436</v>
      </c>
      <c r="X16" s="15">
        <f t="shared" si="11"/>
        <v>0.09450357744181913</v>
      </c>
      <c r="Y16" s="15">
        <f t="shared" si="11"/>
        <v>0.057079947725069934</v>
      </c>
      <c r="Z16" s="15">
        <f t="shared" si="12"/>
        <v>0.4802371843552355</v>
      </c>
      <c r="AA16" s="15">
        <f t="shared" si="13"/>
        <v>0.45549409344446956</v>
      </c>
      <c r="AB16" s="15">
        <f t="shared" si="14"/>
        <v>0.3850299582581295</v>
      </c>
      <c r="AC16" s="15">
        <f>SUMPRODUCT(xObs10,Illuminant_C)/SUMPRODUCT(yObs10,Illuminant_C)</f>
        <v>0.9729639223170384</v>
      </c>
      <c r="AD16" s="15">
        <f>SUMPRODUCT(yObs10,Illuminant_C)/SUMPRODUCT(yObs10,Illuminant_C)</f>
        <v>1</v>
      </c>
      <c r="AE16" s="15">
        <f>SUMPRODUCT(zObs10,Illuminant_C)/SUMPRODUCT(yObs10,Illuminant_C)</f>
        <v>1.1613684712620564</v>
      </c>
      <c r="AF16" s="15">
        <f t="shared" si="15"/>
        <v>0.24999970995837514</v>
      </c>
      <c r="AG16" s="15">
        <f t="shared" si="16"/>
        <v>0.49329439735084013</v>
      </c>
      <c r="AH16" s="15">
        <f t="shared" si="17"/>
        <v>0.2000227075331788</v>
      </c>
      <c r="AI16" s="15">
        <f t="shared" si="18"/>
        <v>0.46255681390312026</v>
      </c>
    </row>
    <row r="17" spans="2:35" ht="12.75">
      <c r="B17" s="60">
        <v>410</v>
      </c>
      <c r="C17" s="176">
        <v>0.065387</v>
      </c>
      <c r="D17" s="177">
        <v>1</v>
      </c>
      <c r="E17" s="15"/>
      <c r="F17" s="126"/>
      <c r="G17" s="127" t="s">
        <v>23</v>
      </c>
      <c r="H17" s="182">
        <f>SUMPRODUCT(Sample,xObs10,Illuminant_D)/SUMPRODUCT(yObs10,Illuminant_D)</f>
        <v>0.11272909739199187</v>
      </c>
      <c r="I17" s="183">
        <f>SUMPRODUCT(Sample,yObs10,Illuminant_D)/SUMPRODUCT(yObs10,Illuminant_D)</f>
        <v>0.09714456964931091</v>
      </c>
      <c r="J17" s="182">
        <f>SUMPRODUCT(Sample,zObs10,Illuminant_D)/SUMPRODUCT(yObs10,Illuminant_D)</f>
        <v>0.0463931114073301</v>
      </c>
      <c r="K17" s="183">
        <f t="shared" si="0"/>
        <v>0.4398896262497315</v>
      </c>
      <c r="L17" s="182">
        <f t="shared" si="1"/>
        <v>0.3790759389000668</v>
      </c>
      <c r="M17" s="184">
        <f t="shared" si="2"/>
        <v>37.32499607113991</v>
      </c>
      <c r="N17" s="184">
        <f t="shared" si="3"/>
        <v>14.376639151145925</v>
      </c>
      <c r="O17" s="185">
        <f t="shared" si="4"/>
        <v>14.974618779967031</v>
      </c>
      <c r="P17" s="184">
        <f t="shared" si="5"/>
        <v>20.75878033237028</v>
      </c>
      <c r="Q17" s="185">
        <f t="shared" si="6"/>
        <v>46.167138046105606</v>
      </c>
      <c r="R17" s="184">
        <f t="shared" si="7"/>
        <v>26.035971968177478</v>
      </c>
      <c r="S17" s="185">
        <f t="shared" si="8"/>
        <v>11.008012066211638</v>
      </c>
      <c r="T17" s="184">
        <f t="shared" si="9"/>
        <v>28.267440032262993</v>
      </c>
      <c r="U17" s="186">
        <f t="shared" si="10"/>
        <v>22.918647242828467</v>
      </c>
      <c r="V17" s="15"/>
      <c r="W17" s="15">
        <f t="shared" si="11"/>
        <v>0.11653715110588572</v>
      </c>
      <c r="X17" s="15">
        <f t="shared" si="11"/>
        <v>0.09714456964931091</v>
      </c>
      <c r="Y17" s="15">
        <f t="shared" si="11"/>
        <v>0.05698890803483177</v>
      </c>
      <c r="Z17" s="15">
        <f t="shared" si="12"/>
        <v>0.48845152029487726</v>
      </c>
      <c r="AA17" s="15">
        <f t="shared" si="13"/>
        <v>0.4596982419925854</v>
      </c>
      <c r="AB17" s="15">
        <f t="shared" si="14"/>
        <v>0.38482514809275026</v>
      </c>
      <c r="AC17" s="15">
        <f>SUMPRODUCT(xObs10,Illuminant_D)/SUMPRODUCT(yObs10,Illuminant_D)</f>
        <v>0.9673232640599404</v>
      </c>
      <c r="AD17" s="15">
        <f>SUMPRODUCT(yObs10,Illuminant_D)/SUMPRODUCT(yObs10,Illuminant_D)</f>
        <v>1</v>
      </c>
      <c r="AE17" s="15">
        <f>SUMPRODUCT(zObs10,Illuminant_D)/SUMPRODUCT(yObs10,Illuminant_D)</f>
        <v>0.8140726504002237</v>
      </c>
      <c r="AF17" s="15">
        <f t="shared" si="15"/>
        <v>0.263836208553934</v>
      </c>
      <c r="AG17" s="15">
        <f t="shared" si="16"/>
        <v>0.5115633402944433</v>
      </c>
      <c r="AH17" s="15">
        <f t="shared" si="17"/>
        <v>0.2101786791423301</v>
      </c>
      <c r="AI17" s="15">
        <f t="shared" si="18"/>
        <v>0.48887693043319513</v>
      </c>
    </row>
    <row r="18" spans="2:35" ht="12.75">
      <c r="B18" s="60">
        <v>420</v>
      </c>
      <c r="C18" s="176">
        <v>0.064502</v>
      </c>
      <c r="D18" s="177">
        <v>1</v>
      </c>
      <c r="E18" s="15"/>
      <c r="F18" s="126"/>
      <c r="G18" s="127" t="s">
        <v>24</v>
      </c>
      <c r="H18" s="182">
        <f>SUMPRODUCT(Sample,xObs10,Illuminant_E)/SUMPRODUCT(yObs10,Illuminant_E)</f>
        <v>0.11465226187629379</v>
      </c>
      <c r="I18" s="183">
        <f>SUMPRODUCT(Sample,yObs10,Illuminant_E)/SUMPRODUCT(yObs10,Illuminant_E)</f>
        <v>0.09699174792884961</v>
      </c>
      <c r="J18" s="182">
        <f>SUMPRODUCT(Sample,zObs10,Illuminant_E)/SUMPRODUCT(yObs10,Illuminant_E)</f>
        <v>0.05739835086868434</v>
      </c>
      <c r="K18" s="183">
        <f t="shared" si="0"/>
        <v>0.4261494791717648</v>
      </c>
      <c r="L18" s="182">
        <f t="shared" si="1"/>
        <v>0.3605073479355807</v>
      </c>
      <c r="M18" s="184">
        <f t="shared" si="2"/>
        <v>37.29701888658589</v>
      </c>
      <c r="N18" s="184">
        <f t="shared" si="3"/>
        <v>13.173719429411006</v>
      </c>
      <c r="O18" s="185">
        <f t="shared" si="4"/>
        <v>14.742435547720278</v>
      </c>
      <c r="P18" s="184">
        <f t="shared" si="5"/>
        <v>19.77084443020903</v>
      </c>
      <c r="Q18" s="185">
        <f t="shared" si="6"/>
        <v>48.21628765689677</v>
      </c>
      <c r="R18" s="184">
        <f t="shared" si="7"/>
        <v>25.591997721387987</v>
      </c>
      <c r="S18" s="185">
        <f t="shared" si="8"/>
        <v>13.333926440353464</v>
      </c>
      <c r="T18" s="184">
        <f t="shared" si="9"/>
        <v>28.857303091042397</v>
      </c>
      <c r="U18" s="186">
        <f t="shared" si="10"/>
        <v>27.52038646458674</v>
      </c>
      <c r="V18" s="15"/>
      <c r="W18" s="15">
        <f t="shared" si="11"/>
        <v>0.11465278150758716</v>
      </c>
      <c r="X18" s="15">
        <f t="shared" si="11"/>
        <v>0.09699174792884961</v>
      </c>
      <c r="Y18" s="15">
        <f t="shared" si="11"/>
        <v>0.05739849650163772</v>
      </c>
      <c r="Z18" s="15">
        <f t="shared" si="12"/>
        <v>0.48580449822594174</v>
      </c>
      <c r="AA18" s="15">
        <f t="shared" si="13"/>
        <v>0.4594570593671197</v>
      </c>
      <c r="AB18" s="15">
        <f t="shared" si="14"/>
        <v>0.38574488162851833</v>
      </c>
      <c r="AC18" s="15">
        <f>SUMPRODUCT(xObs10,Illuminant_E)/SUMPRODUCT(yObs10,Illuminant_E)</f>
        <v>0.9999954677829309</v>
      </c>
      <c r="AD18" s="15">
        <f>SUMPRODUCT(yObs10,Illuminant_E)/SUMPRODUCT(yObs10,Illuminant_E)</f>
        <v>1</v>
      </c>
      <c r="AE18" s="15">
        <f>SUMPRODUCT(zObs10,Illuminant_E)/SUMPRODUCT(yObs10,Illuminant_E)</f>
        <v>0.9999974627740751</v>
      </c>
      <c r="AF18" s="15">
        <f t="shared" si="15"/>
        <v>0.26330760232994943</v>
      </c>
      <c r="AG18" s="15">
        <f t="shared" si="16"/>
        <v>0.5011850127833171</v>
      </c>
      <c r="AH18" s="15">
        <f t="shared" si="17"/>
        <v>0.21052549619637953</v>
      </c>
      <c r="AI18" s="15">
        <f t="shared" si="18"/>
        <v>0.4736845132828904</v>
      </c>
    </row>
    <row r="19" spans="2:35" ht="12.75">
      <c r="B19" s="60">
        <v>430</v>
      </c>
      <c r="C19" s="176">
        <v>0.060536</v>
      </c>
      <c r="D19" s="177">
        <v>1</v>
      </c>
      <c r="E19" s="15"/>
      <c r="F19" s="133"/>
      <c r="G19" s="127" t="s">
        <v>25</v>
      </c>
      <c r="H19" s="182">
        <f>SUMPRODUCT(Sample,xObs10,Illuminant_F2)/SUMPRODUCT(yObs10,Illuminant_F2)</f>
        <v>0.11731387619885174</v>
      </c>
      <c r="I19" s="183">
        <f>SUMPRODUCT(Sample,yObs10,Illuminant_F2)/SUMPRODUCT(yObs10,Illuminant_F2)</f>
        <v>0.10079572665506839</v>
      </c>
      <c r="J19" s="182">
        <f>SUMPRODUCT(Sample,zObs10,Illuminant_F2)/SUMPRODUCT(yObs10,Illuminant_F2)</f>
        <v>0.03225249450802105</v>
      </c>
      <c r="K19" s="183">
        <f t="shared" si="0"/>
        <v>0.4685768230694062</v>
      </c>
      <c r="L19" s="182">
        <f t="shared" si="1"/>
        <v>0.4025997853395155</v>
      </c>
      <c r="M19" s="184">
        <f t="shared" si="2"/>
        <v>37.984866192644205</v>
      </c>
      <c r="N19" s="184">
        <f t="shared" si="3"/>
        <v>9.833069349772321</v>
      </c>
      <c r="O19" s="185">
        <f t="shared" si="4"/>
        <v>16.177394982270364</v>
      </c>
      <c r="P19" s="184">
        <f t="shared" si="5"/>
        <v>18.931385613573514</v>
      </c>
      <c r="Q19" s="185">
        <f t="shared" si="6"/>
        <v>58.70760540658331</v>
      </c>
      <c r="R19" s="184">
        <f t="shared" si="7"/>
        <v>19.7311874059272</v>
      </c>
      <c r="S19" s="185">
        <f t="shared" si="8"/>
        <v>8.875124359165932</v>
      </c>
      <c r="T19" s="184">
        <f t="shared" si="9"/>
        <v>21.635331955818952</v>
      </c>
      <c r="U19" s="186">
        <f t="shared" si="10"/>
        <v>24.218302745130895</v>
      </c>
      <c r="V19" s="15"/>
      <c r="W19" s="15">
        <f t="shared" si="11"/>
        <v>0.11412147072953181</v>
      </c>
      <c r="X19" s="15">
        <f t="shared" si="11"/>
        <v>0.10079572665506839</v>
      </c>
      <c r="Y19" s="15">
        <f t="shared" si="11"/>
        <v>0.05684448857912413</v>
      </c>
      <c r="Z19" s="15">
        <f t="shared" si="12"/>
        <v>0.48505291622233954</v>
      </c>
      <c r="AA19" s="15">
        <f t="shared" si="13"/>
        <v>0.4653867775227949</v>
      </c>
      <c r="AB19" s="15">
        <f t="shared" si="14"/>
        <v>0.38449980261144306</v>
      </c>
      <c r="AC19" s="15">
        <f>SUMPRODUCT(xObs10,Illuminant_F2)/SUMPRODUCT(yObs10,Illuminant_F2)</f>
        <v>1.027973749802839</v>
      </c>
      <c r="AD19" s="15">
        <f>SUMPRODUCT(yObs10,Illuminant_F2)/SUMPRODUCT(yObs10,Illuminant_F2)</f>
        <v>1</v>
      </c>
      <c r="AE19" s="15">
        <f>SUMPRODUCT(zObs10,Illuminant_F2)/SUMPRODUCT(yObs10,Illuminant_F2)</f>
        <v>0.5673812064141892</v>
      </c>
      <c r="AF19" s="15">
        <f t="shared" si="15"/>
        <v>0.271873424749116</v>
      </c>
      <c r="AG19" s="15">
        <f t="shared" si="16"/>
        <v>0.5255838495909252</v>
      </c>
      <c r="AH19" s="15">
        <f t="shared" si="17"/>
        <v>0.23191583640558502</v>
      </c>
      <c r="AI19" s="15">
        <f t="shared" si="18"/>
        <v>0.5076108529158915</v>
      </c>
    </row>
    <row r="20" spans="2:35" ht="12.75">
      <c r="B20" s="60">
        <v>440</v>
      </c>
      <c r="C20" s="176">
        <v>0.056203</v>
      </c>
      <c r="D20" s="177">
        <v>1</v>
      </c>
      <c r="E20" s="15"/>
      <c r="F20" s="133"/>
      <c r="G20" s="127" t="s">
        <v>26</v>
      </c>
      <c r="H20" s="182">
        <f>SUMPRODUCT(Sample,xObs10,Illuminant_F7)/SUMPRODUCT(yObs10,Illuminant_F7)</f>
        <v>0.10616553950706868</v>
      </c>
      <c r="I20" s="183">
        <f>SUMPRODUCT(Sample,yObs10,Illuminant_F7)/SUMPRODUCT(yObs10,Illuminant_F7)</f>
        <v>0.09511620659431139</v>
      </c>
      <c r="J20" s="182">
        <f>SUMPRODUCT(Sample,zObs10,Illuminant_F7)/SUMPRODUCT(yObs10,Illuminant_F7)</f>
        <v>0.05441142287743098</v>
      </c>
      <c r="K20" s="183">
        <f t="shared" si="0"/>
        <v>0.4152067883982715</v>
      </c>
      <c r="L20" s="182">
        <f t="shared" si="1"/>
        <v>0.3719935380917178</v>
      </c>
      <c r="M20" s="184">
        <f t="shared" si="2"/>
        <v>36.95124344952478</v>
      </c>
      <c r="N20" s="184">
        <f t="shared" si="3"/>
        <v>12.431447024573606</v>
      </c>
      <c r="O20" s="185">
        <f t="shared" si="4"/>
        <v>14.386554251742211</v>
      </c>
      <c r="P20" s="184">
        <f t="shared" si="5"/>
        <v>19.013516727925474</v>
      </c>
      <c r="Q20" s="185">
        <f t="shared" si="6"/>
        <v>49.16964589234952</v>
      </c>
      <c r="R20" s="184">
        <f t="shared" si="7"/>
        <v>23.087622791927625</v>
      </c>
      <c r="S20" s="185">
        <f t="shared" si="8"/>
        <v>12.755113149743737</v>
      </c>
      <c r="T20" s="184">
        <f t="shared" si="9"/>
        <v>26.376717719327807</v>
      </c>
      <c r="U20" s="186">
        <f t="shared" si="10"/>
        <v>28.919132251181136</v>
      </c>
      <c r="V20" s="15"/>
      <c r="W20" s="15">
        <f t="shared" si="11"/>
        <v>0.11152019183972105</v>
      </c>
      <c r="X20" s="15">
        <f t="shared" si="11"/>
        <v>0.09511620659431139</v>
      </c>
      <c r="Y20" s="15">
        <f t="shared" si="11"/>
        <v>0.05686385610009284</v>
      </c>
      <c r="Z20" s="15">
        <f t="shared" si="12"/>
        <v>0.48133913068298156</v>
      </c>
      <c r="AA20" s="15">
        <f t="shared" si="13"/>
        <v>0.45647623663383435</v>
      </c>
      <c r="AB20" s="15">
        <f t="shared" si="14"/>
        <v>0.3845434653751233</v>
      </c>
      <c r="AC20" s="15">
        <f>SUMPRODUCT(xObs10,Illuminant_F7)/SUMPRODUCT(yObs10,Illuminant_F7)</f>
        <v>0.9519849074475394</v>
      </c>
      <c r="AD20" s="15">
        <f>SUMPRODUCT(yObs10,Illuminant_F7)/SUMPRODUCT(yObs10,Illuminant_F7)</f>
        <v>1</v>
      </c>
      <c r="AE20" s="15">
        <f>SUMPRODUCT(zObs10,Illuminant_F7)/SUMPRODUCT(yObs10,Illuminant_F7)</f>
        <v>0.9568718445976467</v>
      </c>
      <c r="AF20" s="15">
        <f t="shared" si="15"/>
        <v>0.25036932693711206</v>
      </c>
      <c r="AG20" s="15">
        <f t="shared" si="16"/>
        <v>0.5047014940714145</v>
      </c>
      <c r="AH20" s="15">
        <f t="shared" si="17"/>
        <v>0.20230677698746286</v>
      </c>
      <c r="AI20" s="15">
        <f t="shared" si="18"/>
        <v>0.4781485973787619</v>
      </c>
    </row>
    <row r="21" spans="2:35" ht="12.75">
      <c r="B21" s="60">
        <v>450</v>
      </c>
      <c r="C21" s="176">
        <v>0.054295</v>
      </c>
      <c r="D21" s="177">
        <v>1</v>
      </c>
      <c r="E21" s="15"/>
      <c r="F21" s="133"/>
      <c r="G21" s="127" t="s">
        <v>27</v>
      </c>
      <c r="H21" s="182">
        <f>SUMPRODUCT(Sample,xObs10,Illuminant_F11)/SUMPRODUCT(yObs10,Illuminant_F11)</f>
        <v>0.12708291140118136</v>
      </c>
      <c r="I21" s="183">
        <f>SUMPRODUCT(Sample,yObs10,Illuminant_F11)/SUMPRODUCT(yObs10,Illuminant_F11)</f>
        <v>0.10186516594711352</v>
      </c>
      <c r="J21" s="182">
        <f>SUMPRODUCT(Sample,zObs10,Illuminant_F11)/SUMPRODUCT(yObs10,Illuminant_F11)</f>
        <v>0.029519464824396387</v>
      </c>
      <c r="K21" s="183">
        <f t="shared" si="0"/>
        <v>0.4916784147553537</v>
      </c>
      <c r="L21" s="182">
        <f t="shared" si="1"/>
        <v>0.3941120230835554</v>
      </c>
      <c r="M21" s="184">
        <f t="shared" si="2"/>
        <v>38.175120781326214</v>
      </c>
      <c r="N21" s="184">
        <f t="shared" si="3"/>
        <v>13.216292229172616</v>
      </c>
      <c r="O21" s="185">
        <f t="shared" si="4"/>
        <v>16.594591961594308</v>
      </c>
      <c r="P21" s="184">
        <f t="shared" si="5"/>
        <v>21.21440224608506</v>
      </c>
      <c r="Q21" s="185">
        <f t="shared" si="6"/>
        <v>51.465425168350635</v>
      </c>
      <c r="R21" s="184">
        <f t="shared" si="7"/>
        <v>25.535639678367495</v>
      </c>
      <c r="S21" s="185">
        <f t="shared" si="8"/>
        <v>7.464026718465031</v>
      </c>
      <c r="T21" s="184">
        <f t="shared" si="9"/>
        <v>26.604146079838312</v>
      </c>
      <c r="U21" s="186">
        <f t="shared" si="10"/>
        <v>16.293557157073376</v>
      </c>
      <c r="V21" s="15"/>
      <c r="W21" s="15">
        <f t="shared" si="11"/>
        <v>0.12015850346805533</v>
      </c>
      <c r="X21" s="15">
        <f t="shared" si="11"/>
        <v>0.10186516594711352</v>
      </c>
      <c r="Y21" s="15">
        <f t="shared" si="11"/>
        <v>0.0566469702214219</v>
      </c>
      <c r="Z21" s="15">
        <f t="shared" si="12"/>
        <v>0.4934594877456402</v>
      </c>
      <c r="AA21" s="15">
        <f t="shared" si="13"/>
        <v>0.46702690328729496</v>
      </c>
      <c r="AB21" s="15">
        <f t="shared" si="14"/>
        <v>0.3840539434793234</v>
      </c>
      <c r="AC21" s="15">
        <f>SUMPRODUCT(xObs10,Illuminant_F11)/SUMPRODUCT(yObs10,Illuminant_F11)</f>
        <v>1.0576272817426269</v>
      </c>
      <c r="AD21" s="15">
        <f>SUMPRODUCT(yObs10,Illuminant_F11)/SUMPRODUCT(yObs10,Illuminant_F11)</f>
        <v>1</v>
      </c>
      <c r="AE21" s="15">
        <f>SUMPRODUCT(zObs10,Illuminant_F11)/SUMPRODUCT(yObs10,Illuminant_F11)</f>
        <v>0.5211128628594007</v>
      </c>
      <c r="AF21" s="15">
        <f t="shared" si="15"/>
        <v>0.2915382921076447</v>
      </c>
      <c r="AG21" s="15">
        <f t="shared" si="16"/>
        <v>0.5257952576046839</v>
      </c>
      <c r="AH21" s="15">
        <f t="shared" si="17"/>
        <v>0.24008383865585922</v>
      </c>
      <c r="AI21" s="15">
        <f t="shared" si="18"/>
        <v>0.5107552029913861</v>
      </c>
    </row>
    <row r="22" spans="2:35" ht="12.75">
      <c r="B22" s="60">
        <v>460</v>
      </c>
      <c r="C22" s="176">
        <v>0.0537</v>
      </c>
      <c r="D22" s="177">
        <v>1</v>
      </c>
      <c r="E22" s="15"/>
      <c r="F22" s="126"/>
      <c r="G22" s="127" t="s">
        <v>28</v>
      </c>
      <c r="H22" s="182">
        <f>SUMPRODUCT(Sample,xObs10,Blackbody)/SUMPRODUCT(yObs10,Blackbody)</f>
        <v>0.11446018727383406</v>
      </c>
      <c r="I22" s="183">
        <f>SUMPRODUCT(Sample,yObs10,Blackbody)/SUMPRODUCT(yObs10,Blackbody)</f>
        <v>0.09750961459388037</v>
      </c>
      <c r="J22" s="182">
        <f>SUMPRODUCT(Sample,zObs10,Blackbody)/SUMPRODUCT(yObs10,Blackbody)</f>
        <v>0.04921801119633436</v>
      </c>
      <c r="K22" s="183">
        <f t="shared" si="0"/>
        <v>0.4382294331847941</v>
      </c>
      <c r="L22" s="182">
        <f t="shared" si="1"/>
        <v>0.3733314102598231</v>
      </c>
      <c r="M22" s="184">
        <f t="shared" si="2"/>
        <v>37.3917065703203</v>
      </c>
      <c r="N22" s="184">
        <f t="shared" si="3"/>
        <v>13.815037387058581</v>
      </c>
      <c r="O22" s="185">
        <f t="shared" si="4"/>
        <v>14.951585417068337</v>
      </c>
      <c r="P22" s="184">
        <f t="shared" si="5"/>
        <v>20.356943888750024</v>
      </c>
      <c r="Q22" s="185">
        <f t="shared" si="6"/>
        <v>47.26253717979748</v>
      </c>
      <c r="R22" s="184">
        <f t="shared" si="7"/>
        <v>25.806914101891525</v>
      </c>
      <c r="S22" s="185">
        <f t="shared" si="8"/>
        <v>11.65126151766852</v>
      </c>
      <c r="T22" s="184">
        <f t="shared" si="9"/>
        <v>28.315167497571174</v>
      </c>
      <c r="U22" s="186">
        <f t="shared" si="10"/>
        <v>24.298142870778577</v>
      </c>
      <c r="V22" s="15"/>
      <c r="W22" s="15">
        <f t="shared" si="11"/>
        <v>0.11614527672607922</v>
      </c>
      <c r="X22" s="15">
        <f t="shared" si="11"/>
        <v>0.09750961459388037</v>
      </c>
      <c r="Y22" s="15">
        <f t="shared" si="11"/>
        <v>0.057296119858274396</v>
      </c>
      <c r="Z22" s="15">
        <f t="shared" si="12"/>
        <v>0.48790340727687836</v>
      </c>
      <c r="AA22" s="15">
        <f t="shared" si="13"/>
        <v>0.4602733325027612</v>
      </c>
      <c r="AB22" s="15">
        <f t="shared" si="14"/>
        <v>0.3855154054174195</v>
      </c>
      <c r="AC22" s="15">
        <f>SUMPRODUCT(xObs10,Blackbody)/SUMPRODUCT(yObs10,Blackbody)</f>
        <v>0.9854915369807131</v>
      </c>
      <c r="AD22" s="15">
        <f>SUMPRODUCT(yObs10,Blackbody)/SUMPRODUCT(yObs10,Blackbody)</f>
        <v>1</v>
      </c>
      <c r="AE22" s="15">
        <f>SUMPRODUCT(zObs10,Blackbody)/SUMPRODUCT(yObs10,Blackbody)</f>
        <v>0.8590112440088132</v>
      </c>
      <c r="AF22" s="15">
        <f t="shared" si="15"/>
        <v>0.26545209957407917</v>
      </c>
      <c r="AG22" s="15">
        <f t="shared" si="16"/>
        <v>0.5088170674273789</v>
      </c>
      <c r="AH22" s="15">
        <f t="shared" si="17"/>
        <v>0.21236152359639024</v>
      </c>
      <c r="AI22" s="15">
        <f t="shared" si="18"/>
        <v>0.4848478248283823</v>
      </c>
    </row>
    <row r="23" spans="2:35" ht="13.5" thickBot="1">
      <c r="B23" s="60">
        <v>470</v>
      </c>
      <c r="C23" s="176">
        <v>0.054068</v>
      </c>
      <c r="D23" s="177">
        <v>1</v>
      </c>
      <c r="E23" s="15"/>
      <c r="F23" s="137"/>
      <c r="G23" s="138" t="s">
        <v>105</v>
      </c>
      <c r="H23" s="194">
        <f>SUMPRODUCT(Sample,xObs10,Custom_Illuminant)/SUMPRODUCT(yObs10,Custom_Illuminant)</f>
        <v>0.11465226187629377</v>
      </c>
      <c r="I23" s="195">
        <f>SUMPRODUCT(Sample,yObs10,Custom_Illuminant)/SUMPRODUCT(yObs10,Custom_Illuminant)</f>
        <v>0.09699174792884964</v>
      </c>
      <c r="J23" s="196">
        <f>SUMPRODUCT(Sample,zObs10,Custom_Illuminant)/SUMPRODUCT(yObs10,Custom_Illuminant)</f>
        <v>0.057398350868684306</v>
      </c>
      <c r="K23" s="195">
        <f t="shared" si="0"/>
        <v>0.42614947917176477</v>
      </c>
      <c r="L23" s="197">
        <f t="shared" si="1"/>
        <v>0.36050734793558087</v>
      </c>
      <c r="M23" s="198">
        <f t="shared" si="2"/>
        <v>37.29701888658589</v>
      </c>
      <c r="N23" s="198">
        <f t="shared" si="3"/>
        <v>13.173719429411035</v>
      </c>
      <c r="O23" s="199">
        <f t="shared" si="4"/>
        <v>14.742435547720289</v>
      </c>
      <c r="P23" s="198">
        <f t="shared" si="5"/>
        <v>19.77084443020906</v>
      </c>
      <c r="Q23" s="198">
        <f t="shared" si="6"/>
        <v>48.21628765689672</v>
      </c>
      <c r="R23" s="198">
        <f t="shared" si="7"/>
        <v>25.591997721388026</v>
      </c>
      <c r="S23" s="200">
        <f t="shared" si="8"/>
        <v>13.333926440353464</v>
      </c>
      <c r="T23" s="198">
        <f t="shared" si="9"/>
        <v>28.857303091042432</v>
      </c>
      <c r="U23" s="201">
        <f t="shared" si="10"/>
        <v>27.520386464586704</v>
      </c>
      <c r="V23" s="15"/>
      <c r="W23" s="15">
        <f t="shared" si="11"/>
        <v>0.11465278150758723</v>
      </c>
      <c r="X23" s="15">
        <f t="shared" si="11"/>
        <v>0.09699174792884964</v>
      </c>
      <c r="Y23" s="15">
        <f t="shared" si="11"/>
        <v>0.0573984965016377</v>
      </c>
      <c r="Z23" s="15">
        <f t="shared" si="12"/>
        <v>0.4858044982259418</v>
      </c>
      <c r="AA23" s="15">
        <f t="shared" si="13"/>
        <v>0.4594570593671197</v>
      </c>
      <c r="AB23" s="15">
        <f t="shared" si="14"/>
        <v>0.3857448816285183</v>
      </c>
      <c r="AC23" s="15">
        <f>SUMPRODUCT(xObs10,Custom_Illuminant)/SUMPRODUCT(yObs10,Custom_Illuminant)</f>
        <v>0.99999546778293</v>
      </c>
      <c r="AD23" s="15">
        <f>SUMPRODUCT(yObs10,Custom_Illuminant)/SUMPRODUCT(yObs10,Custom_Illuminant)</f>
        <v>1</v>
      </c>
      <c r="AE23" s="15">
        <f>SUMPRODUCT(zObs10,Custom_Illuminant)/SUMPRODUCT(yObs10,Custom_Illuminant)</f>
        <v>0.9999974627740749</v>
      </c>
      <c r="AF23" s="15">
        <f t="shared" si="15"/>
        <v>0.2633076023299493</v>
      </c>
      <c r="AG23" s="15">
        <f t="shared" si="16"/>
        <v>0.5011850127833171</v>
      </c>
      <c r="AH23" s="15">
        <f t="shared" si="17"/>
        <v>0.21052549619637934</v>
      </c>
      <c r="AI23" s="15">
        <f t="shared" si="18"/>
        <v>0.4736845132828904</v>
      </c>
    </row>
    <row r="24" spans="2:35" ht="13.5" thickBot="1">
      <c r="B24" s="60">
        <v>480</v>
      </c>
      <c r="C24" s="176">
        <v>0.055897</v>
      </c>
      <c r="D24" s="177">
        <v>1</v>
      </c>
      <c r="E24" s="15"/>
      <c r="F24" s="139"/>
      <c r="G24" s="139"/>
      <c r="H24" s="139"/>
      <c r="I24" s="139"/>
      <c r="J24" s="139"/>
      <c r="K24" s="140"/>
      <c r="L24" s="140"/>
      <c r="M24" s="141"/>
      <c r="N24" s="141"/>
      <c r="O24" s="141"/>
      <c r="P24" s="141"/>
      <c r="Q24" s="141"/>
      <c r="R24" s="141"/>
      <c r="S24" s="141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2:35" ht="12.75">
      <c r="B25" s="67">
        <v>490</v>
      </c>
      <c r="C25" s="178">
        <v>0.060295</v>
      </c>
      <c r="D25" s="179">
        <v>1</v>
      </c>
      <c r="E25" s="15"/>
      <c r="F25" s="142" t="s">
        <v>108</v>
      </c>
      <c r="G25" s="143"/>
      <c r="H25" s="144" t="s">
        <v>109</v>
      </c>
      <c r="I25" s="2" t="s">
        <v>110</v>
      </c>
      <c r="J25" s="3"/>
      <c r="K25" s="145"/>
      <c r="L25" s="4" t="s">
        <v>111</v>
      </c>
      <c r="M25" s="5"/>
      <c r="N25" s="146"/>
      <c r="O25" s="141"/>
      <c r="P25" s="141"/>
      <c r="Q25" s="141"/>
      <c r="R25" s="141"/>
      <c r="S25" s="141"/>
      <c r="T25" s="15"/>
      <c r="U25" s="15"/>
      <c r="V25" s="15"/>
      <c r="W25" s="121" t="s">
        <v>112</v>
      </c>
      <c r="X25" s="121"/>
      <c r="Y25" s="121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2:35" ht="13.5" thickBot="1">
      <c r="B26" s="60">
        <v>500</v>
      </c>
      <c r="C26" s="176">
        <v>0.065096</v>
      </c>
      <c r="D26" s="177">
        <v>1</v>
      </c>
      <c r="E26" s="15"/>
      <c r="F26" s="147" t="s">
        <v>113</v>
      </c>
      <c r="G26" s="148"/>
      <c r="H26" s="149" t="s">
        <v>8</v>
      </c>
      <c r="I26" s="22" t="s">
        <v>35</v>
      </c>
      <c r="J26" s="23" t="s">
        <v>36</v>
      </c>
      <c r="K26" s="24" t="s">
        <v>37</v>
      </c>
      <c r="L26" s="150" t="s">
        <v>35</v>
      </c>
      <c r="M26" s="151" t="s">
        <v>36</v>
      </c>
      <c r="N26" s="32" t="s">
        <v>37</v>
      </c>
      <c r="O26" s="141"/>
      <c r="P26" s="141"/>
      <c r="Q26" s="141"/>
      <c r="R26" s="141"/>
      <c r="S26" s="141"/>
      <c r="T26" s="15"/>
      <c r="U26" s="15"/>
      <c r="V26" s="15"/>
      <c r="W26" s="121" t="s">
        <v>114</v>
      </c>
      <c r="X26" s="121" t="s">
        <v>115</v>
      </c>
      <c r="Y26" s="121" t="s">
        <v>116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2:35" ht="12.75">
      <c r="B27" s="60">
        <v>510</v>
      </c>
      <c r="C27" s="176">
        <v>0.067954</v>
      </c>
      <c r="D27" s="177">
        <v>1</v>
      </c>
      <c r="E27" s="15"/>
      <c r="F27" s="152" t="s">
        <v>41</v>
      </c>
      <c r="G27" s="62"/>
      <c r="H27" s="134" t="s">
        <v>39</v>
      </c>
      <c r="I27" s="202">
        <f>IF(W27&lt;0,-POWER(-W27,1/'[1]References'!$BQ3),POWER(W27,1/'[1]References'!$BQ3))</f>
        <v>0.4153603282519674</v>
      </c>
      <c r="J27" s="202">
        <f>IF(X27&lt;0,-POWER(-X27,1/'[1]References'!$BQ3),POWER(X27,1/'[1]References'!$BQ3))</f>
        <v>0.31594140265788634</v>
      </c>
      <c r="K27" s="202">
        <f>IF(Y27&lt;0,-POWER(-Y27,1/'[1]References'!$BQ3),POWER(Y27,1/'[1]References'!$BQ3))</f>
        <v>0.26296323579502545</v>
      </c>
      <c r="L27" s="203">
        <f>ROUND(255*I27,0)</f>
        <v>106</v>
      </c>
      <c r="M27" s="203">
        <f>ROUND(255*J27,0)</f>
        <v>81</v>
      </c>
      <c r="N27" s="204">
        <f>ROUND(255*K27,0)</f>
        <v>67</v>
      </c>
      <c r="O27" s="141"/>
      <c r="P27" s="141"/>
      <c r="Q27" s="141"/>
      <c r="R27" s="141"/>
      <c r="S27" s="141"/>
      <c r="T27" s="15"/>
      <c r="U27" s="15"/>
      <c r="V27" s="15"/>
      <c r="W27" s="15">
        <f>D65_X*'[1]References'!BH3+D65_Y*'[1]References'!BK3+D65_Z*'[1]References'!BN3</f>
        <v>0.14472215833007132</v>
      </c>
      <c r="X27" s="15">
        <f>D65_X*'[1]References'!BI3+D65_Y*'[1]References'!BL3+D65_Z*'[1]References'!BO3</f>
        <v>0.0792746607576076</v>
      </c>
      <c r="Y27" s="15">
        <f>D65_X*'[1]References'!BJ3+D65_Y*'[1]References'!BM3+D65_Z*'[1]References'!BP3</f>
        <v>0.05293818865941648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2:35" ht="12.75">
      <c r="B28" s="60">
        <v>520</v>
      </c>
      <c r="C28" s="176">
        <v>0.070497</v>
      </c>
      <c r="D28" s="177">
        <v>1</v>
      </c>
      <c r="E28" s="15"/>
      <c r="F28" s="152" t="s">
        <v>43</v>
      </c>
      <c r="G28" s="62"/>
      <c r="H28" s="134" t="s">
        <v>39</v>
      </c>
      <c r="I28" s="202">
        <f>IF(W28&lt;0,-POWER(-W28,1/'[1]References'!$BQ4),POWER(W28,1/'[1]References'!$BQ4))</f>
        <v>0.36756738180898035</v>
      </c>
      <c r="J28" s="202">
        <f>IF(X28&lt;0,-POWER(-X28,1/'[1]References'!$BQ4),POWER(X28,1/'[1]References'!$BQ4))</f>
        <v>0.24167221057097749</v>
      </c>
      <c r="K28" s="202">
        <f>IF(Y28&lt;0,-POWER(-Y28,1/'[1]References'!$BQ4),POWER(Y28,1/'[1]References'!$BQ4))</f>
        <v>0.19102685945759476</v>
      </c>
      <c r="L28" s="203">
        <f aca="true" t="shared" si="19" ref="L28:N42">ROUND(255*I28,0)</f>
        <v>94</v>
      </c>
      <c r="M28" s="203">
        <f t="shared" si="19"/>
        <v>62</v>
      </c>
      <c r="N28" s="204">
        <f t="shared" si="19"/>
        <v>49</v>
      </c>
      <c r="O28" s="141"/>
      <c r="P28" s="141"/>
      <c r="Q28" s="141"/>
      <c r="R28" s="141"/>
      <c r="S28" s="141"/>
      <c r="T28" s="15"/>
      <c r="U28" s="15"/>
      <c r="V28" s="15"/>
      <c r="W28" s="15">
        <f>D65_X*'[1]References'!BH4+D65_Y*'[1]References'!BK4+D65_Z*'[1]References'!BN4</f>
        <v>0.16504658270615405</v>
      </c>
      <c r="X28" s="15">
        <f>D65_X*'[1]References'!BI4+D65_Y*'[1]References'!BL4+D65_Z*'[1]References'!BO4</f>
        <v>0.07759041705507443</v>
      </c>
      <c r="Y28" s="15">
        <f>D65_X*'[1]References'!BJ4+D65_Y*'[1]References'!BM4+D65_Z*'[1]References'!BP4</f>
        <v>0.05081243231638667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2:35" ht="12.75">
      <c r="B29" s="60">
        <v>530</v>
      </c>
      <c r="C29" s="176">
        <v>0.073572</v>
      </c>
      <c r="D29" s="177">
        <v>1</v>
      </c>
      <c r="E29" s="15"/>
      <c r="F29" s="152" t="s">
        <v>45</v>
      </c>
      <c r="G29" s="62"/>
      <c r="H29" s="134" t="s">
        <v>38</v>
      </c>
      <c r="I29" s="202">
        <f>IF(W29&lt;0,-POWER(-W29,1/'[1]References'!$BQ5),POWER(W29,1/'[1]References'!$BQ5))</f>
        <v>0.41161947672596305</v>
      </c>
      <c r="J29" s="202">
        <f>IF(X29&lt;0,-POWER(-X29,1/'[1]References'!$BQ5),POWER(X29,1/'[1]References'!$BQ5))</f>
        <v>0.33168143466248423</v>
      </c>
      <c r="K29" s="202">
        <f>IF(Y29&lt;0,-POWER(-Y29,1/'[1]References'!$BQ5),POWER(Y29,1/'[1]References'!$BQ5))</f>
        <v>0.270983976640955</v>
      </c>
      <c r="L29" s="203">
        <f t="shared" si="19"/>
        <v>105</v>
      </c>
      <c r="M29" s="203">
        <f t="shared" si="19"/>
        <v>85</v>
      </c>
      <c r="N29" s="204">
        <f t="shared" si="19"/>
        <v>69</v>
      </c>
      <c r="O29" s="141"/>
      <c r="P29" s="141"/>
      <c r="Q29" s="141"/>
      <c r="R29" s="141"/>
      <c r="S29" s="141"/>
      <c r="T29" s="15"/>
      <c r="U29" s="15"/>
      <c r="V29" s="15"/>
      <c r="W29" s="15">
        <f>D50_X*'[1]References'!BH5+D50_Y*'[1]References'!BK5+D50_Z*'[1]References'!BN5</f>
        <v>0.14187014600586464</v>
      </c>
      <c r="X29" s="15">
        <f>D50_X*'[1]References'!BI5+D50_Y*'[1]References'!BL5+D50_Z*'[1]References'!BO5</f>
        <v>0.08822396236748886</v>
      </c>
      <c r="Y29" s="15">
        <f>D50_X*'[1]References'!BJ5+D50_Y*'[1]References'!BM5+D50_Z*'[1]References'!BP5</f>
        <v>0.05655564316963686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2:35" ht="12.75">
      <c r="B30" s="60">
        <v>540</v>
      </c>
      <c r="C30" s="176">
        <v>0.077196</v>
      </c>
      <c r="D30" s="177">
        <v>1</v>
      </c>
      <c r="E30" s="15"/>
      <c r="F30" s="153" t="s">
        <v>47</v>
      </c>
      <c r="G30" s="69"/>
      <c r="H30" s="154" t="s">
        <v>38</v>
      </c>
      <c r="I30" s="187">
        <f>IF(W30&lt;0,-POWER(-W30,1/'[1]References'!$BQ6),POWER(W30,1/'[1]References'!$BQ6))</f>
        <v>0.4090063302958906</v>
      </c>
      <c r="J30" s="187">
        <f>IF(X30&lt;0,-POWER(-X30,1/'[1]References'!$BQ6),POWER(X30,1/'[1]References'!$BQ6))</f>
        <v>0.32272797508892354</v>
      </c>
      <c r="K30" s="187">
        <f>IF(Y30&lt;0,-POWER(-Y30,1/'[1]References'!$BQ6),POWER(Y30,1/'[1]References'!$BQ6))</f>
        <v>0.26881329315214053</v>
      </c>
      <c r="L30" s="205">
        <f t="shared" si="19"/>
        <v>104</v>
      </c>
      <c r="M30" s="205">
        <f t="shared" si="19"/>
        <v>82</v>
      </c>
      <c r="N30" s="206">
        <f t="shared" si="19"/>
        <v>69</v>
      </c>
      <c r="O30" s="141"/>
      <c r="P30" s="141"/>
      <c r="Q30" s="141"/>
      <c r="R30" s="141"/>
      <c r="S30" s="141"/>
      <c r="T30" s="15"/>
      <c r="U30" s="15"/>
      <c r="V30" s="15"/>
      <c r="W30" s="15">
        <f>D50_X*'[1]References'!BH6+D50_Y*'[1]References'!BK6+D50_Z*'[1]References'!BN6</f>
        <v>0.1398962475226995</v>
      </c>
      <c r="X30" s="15">
        <f>D50_X*'[1]References'!BI6+D50_Y*'[1]References'!BL6+D50_Z*'[1]References'!BO6</f>
        <v>0.08306929960420976</v>
      </c>
      <c r="Y30" s="15">
        <f>D50_X*'[1]References'!BJ6+D50_Y*'[1]References'!BM6+D50_Z*'[1]References'!BP6</f>
        <v>0.05556376052768463</v>
      </c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2:35" ht="12.75">
      <c r="B31" s="60">
        <v>550</v>
      </c>
      <c r="C31" s="176">
        <v>0.080902</v>
      </c>
      <c r="D31" s="177">
        <v>1</v>
      </c>
      <c r="E31" s="15"/>
      <c r="F31" s="152" t="s">
        <v>49</v>
      </c>
      <c r="G31" s="62"/>
      <c r="H31" s="134" t="s">
        <v>39</v>
      </c>
      <c r="I31" s="202">
        <f>IF(W31&lt;0,-POWER(-W31,1/'[1]References'!$BQ7),POWER(W31,1/'[1]References'!$BQ7))</f>
        <v>0.4347838068738256</v>
      </c>
      <c r="J31" s="202">
        <f>IF(X31&lt;0,-POWER(-X31,1/'[1]References'!$BQ7),POWER(X31,1/'[1]References'!$BQ7))</f>
        <v>0.3159415985487984</v>
      </c>
      <c r="K31" s="202">
        <f>IF(Y31&lt;0,-POWER(-Y31,1/'[1]References'!$BQ7),POWER(Y31,1/'[1]References'!$BQ7))</f>
        <v>0.26309415375476347</v>
      </c>
      <c r="L31" s="203">
        <f t="shared" si="19"/>
        <v>111</v>
      </c>
      <c r="M31" s="203">
        <f t="shared" si="19"/>
        <v>81</v>
      </c>
      <c r="N31" s="204">
        <f t="shared" si="19"/>
        <v>67</v>
      </c>
      <c r="O31" s="141"/>
      <c r="P31" s="141"/>
      <c r="Q31" s="141"/>
      <c r="R31" s="141"/>
      <c r="S31" s="141"/>
      <c r="T31" s="15"/>
      <c r="U31" s="15"/>
      <c r="V31" s="15"/>
      <c r="W31" s="15">
        <f>D65_X*'[1]References'!BH7+D65_Y*'[1]References'!BK7+D65_Z*'[1]References'!BN7</f>
        <v>0.16002999578164334</v>
      </c>
      <c r="X31" s="15">
        <f>D65_X*'[1]References'!BI7+D65_Y*'[1]References'!BL7+D65_Z*'[1]References'!BO7</f>
        <v>0.079274768892283</v>
      </c>
      <c r="Y31" s="15">
        <f>D65_X*'[1]References'!BJ7+D65_Y*'[1]References'!BM7+D65_Z*'[1]References'!BP7</f>
        <v>0.05299618834860652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2:35" ht="12.75">
      <c r="B32" s="60">
        <v>560</v>
      </c>
      <c r="C32" s="176">
        <v>0.086991</v>
      </c>
      <c r="D32" s="177">
        <v>1</v>
      </c>
      <c r="E32" s="15"/>
      <c r="F32" s="152" t="s">
        <v>51</v>
      </c>
      <c r="G32" s="62"/>
      <c r="H32" s="134" t="s">
        <v>24</v>
      </c>
      <c r="I32" s="202">
        <f>IF(W32&lt;0,-POWER(-W32,1/'[1]References'!$BQ8),POWER(W32,1/'[1]References'!$BQ8))</f>
        <v>0.4370968498544699</v>
      </c>
      <c r="J32" s="202">
        <f>IF(X32&lt;0,-POWER(-X32,1/'[1]References'!$BQ8),POWER(X32,1/'[1]References'!$BQ8))</f>
        <v>0.3287164482885611</v>
      </c>
      <c r="K32" s="202">
        <f>IF(Y32&lt;0,-POWER(-Y32,1/'[1]References'!$BQ8),POWER(Y32,1/'[1]References'!$BQ8))</f>
        <v>0.2716822684004681</v>
      </c>
      <c r="L32" s="203">
        <f t="shared" si="19"/>
        <v>111</v>
      </c>
      <c r="M32" s="203">
        <f t="shared" si="19"/>
        <v>84</v>
      </c>
      <c r="N32" s="204">
        <f t="shared" si="19"/>
        <v>69</v>
      </c>
      <c r="O32" s="141"/>
      <c r="P32" s="141"/>
      <c r="Q32" s="141"/>
      <c r="R32" s="141"/>
      <c r="S32" s="141"/>
      <c r="T32" s="15"/>
      <c r="U32" s="15"/>
      <c r="V32" s="15"/>
      <c r="W32" s="15">
        <f>E_X*'[1]References'!BH8+E_Y*'[1]References'!BK8+E_Z*'[1]References'!BN8</f>
        <v>0.1619089619578425</v>
      </c>
      <c r="X32" s="15">
        <f>E_X*'[1]References'!BI8+E_Y*'[1]References'!BL8+E_Z*'[1]References'!BO8</f>
        <v>0.08649821768105372</v>
      </c>
      <c r="Y32" s="15">
        <f>E_X*'[1]References'!BJ8+E_Y*'[1]References'!BM8+E_Z*'[1]References'!BP8</f>
        <v>0.056876759950819644</v>
      </c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2:35" ht="12.75">
      <c r="B33" s="60">
        <v>570</v>
      </c>
      <c r="C33" s="176">
        <v>0.099049</v>
      </c>
      <c r="D33" s="177">
        <v>1</v>
      </c>
      <c r="E33" s="15"/>
      <c r="F33" s="152" t="s">
        <v>52</v>
      </c>
      <c r="G33" s="62"/>
      <c r="H33" s="134" t="s">
        <v>38</v>
      </c>
      <c r="I33" s="202">
        <f>IF(W33&lt;0,-POWER(-W33,1/'[1]References'!$BQ9),POWER(W33,1/'[1]References'!$BQ9))</f>
        <v>0.3659732978350753</v>
      </c>
      <c r="J33" s="202">
        <f>IF(X33&lt;0,-POWER(-X33,1/'[1]References'!$BQ9),POWER(X33,1/'[1]References'!$BQ9))</f>
        <v>0.2415989697024948</v>
      </c>
      <c r="K33" s="202">
        <f>IF(Y33&lt;0,-POWER(-Y33,1/'[1]References'!$BQ9),POWER(Y33,1/'[1]References'!$BQ9))</f>
        <v>0.18918732043818012</v>
      </c>
      <c r="L33" s="203">
        <f t="shared" si="19"/>
        <v>93</v>
      </c>
      <c r="M33" s="203">
        <f t="shared" si="19"/>
        <v>62</v>
      </c>
      <c r="N33" s="204">
        <f t="shared" si="19"/>
        <v>48</v>
      </c>
      <c r="O33" s="141"/>
      <c r="P33" s="141"/>
      <c r="Q33" s="141"/>
      <c r="R33" s="141"/>
      <c r="S33" s="141"/>
      <c r="T33" s="15"/>
      <c r="U33" s="15"/>
      <c r="V33" s="15"/>
      <c r="W33" s="15">
        <f>D50_X*'[1]References'!BH9+D50_Y*'[1]References'!BK9+D50_Z*'[1]References'!BN9</f>
        <v>0.163760410820394</v>
      </c>
      <c r="X33" s="15">
        <f>D50_X*'[1]References'!BI9+D50_Y*'[1]References'!BL9+D50_Z*'[1]References'!BO9</f>
        <v>0.07754809617296274</v>
      </c>
      <c r="Y33" s="15">
        <f>D50_X*'[1]References'!BJ9+D50_Y*'[1]References'!BM9+D50_Z*'[1]References'!BP9</f>
        <v>0.049935068156735374</v>
      </c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2:35" ht="12.75">
      <c r="B34" s="60">
        <v>580</v>
      </c>
      <c r="C34" s="176">
        <v>0.112788</v>
      </c>
      <c r="D34" s="177">
        <v>1</v>
      </c>
      <c r="E34" s="15"/>
      <c r="F34" s="153" t="s">
        <v>53</v>
      </c>
      <c r="G34" s="155"/>
      <c r="H34" s="154" t="s">
        <v>38</v>
      </c>
      <c r="I34" s="187">
        <f>IF(W34&lt;0,-POWER(-W34,1/'[1]References'!$BQ10),POWER(W34,1/'[1]References'!$BQ10))</f>
        <v>0.4117772520892331</v>
      </c>
      <c r="J34" s="187">
        <f>IF(X34&lt;0,-POWER(-X34,1/'[1]References'!$BQ10),POWER(X34,1/'[1]References'!$BQ10))</f>
        <v>0.3248793843828151</v>
      </c>
      <c r="K34" s="187">
        <f>IF(Y34&lt;0,-POWER(-Y34,1/'[1]References'!$BQ10),POWER(Y34,1/'[1]References'!$BQ10))</f>
        <v>0.2695837645412428</v>
      </c>
      <c r="L34" s="205">
        <f t="shared" si="19"/>
        <v>105</v>
      </c>
      <c r="M34" s="205">
        <f t="shared" si="19"/>
        <v>83</v>
      </c>
      <c r="N34" s="206">
        <f t="shared" si="19"/>
        <v>69</v>
      </c>
      <c r="O34" s="141"/>
      <c r="P34" s="141"/>
      <c r="Q34" s="141"/>
      <c r="R34" s="141"/>
      <c r="S34" s="141"/>
      <c r="T34" s="15"/>
      <c r="U34" s="15"/>
      <c r="V34" s="15"/>
      <c r="W34" s="15">
        <f>D50_X*'[1]References'!BH10+D50_Y*'[1]References'!BK10+D50_Z*'[1]References'!BN10</f>
        <v>0.1419898081664897</v>
      </c>
      <c r="X34" s="15">
        <f>D50_X*'[1]References'!BI10+D50_Y*'[1]References'!BL10+D50_Z*'[1]References'!BO10</f>
        <v>0.08429246179668762</v>
      </c>
      <c r="Y34" s="15">
        <f>D50_X*'[1]References'!BJ10+D50_Y*'[1]References'!BM10+D50_Z*'[1]References'!BP10</f>
        <v>0.05591472766320682</v>
      </c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2:35" ht="12.75">
      <c r="B35" s="67">
        <v>590</v>
      </c>
      <c r="C35" s="178">
        <v>0.125057</v>
      </c>
      <c r="D35" s="179">
        <v>1</v>
      </c>
      <c r="E35" s="15"/>
      <c r="F35" s="156" t="s">
        <v>117</v>
      </c>
      <c r="G35" s="157"/>
      <c r="H35" s="134" t="s">
        <v>38</v>
      </c>
      <c r="I35" s="202">
        <f>IF(W35&lt;0,IF(W35&gt;=(-216/24389),W35*216/2438900,-(1.16*POWER(-W35,1/3)-0.16)),IF(W35&lt;=(216/24389),W35*216/2438900,1.16*POWER(W35,1/3)-0.16))</f>
        <v>0.4465414368901587</v>
      </c>
      <c r="J35" s="202">
        <f>IF(X35&lt;0,IF(X35&gt;=(-216/24389),X35*216/2438900,-(1.16*POWER(-X35,1/3)-0.16)),IF(X35&lt;=(216/24389),X35*216/2438900,1.16*POWER(X35,1/3)-0.16))</f>
        <v>0.34395339279813286</v>
      </c>
      <c r="K35" s="202">
        <f>IF(Y35&lt;0,IF(Y35&gt;=(-216/24389),Y35*216/2438900,-(1.16*POWER(-Y35,1/3)-0.16)),IF(Y35&lt;=(216/24389),Y35*216/2438900,1.16*POWER(Y35,1/3)-0.16))</f>
        <v>0.28027092774524165</v>
      </c>
      <c r="L35" s="203">
        <f t="shared" si="19"/>
        <v>114</v>
      </c>
      <c r="M35" s="203">
        <f t="shared" si="19"/>
        <v>88</v>
      </c>
      <c r="N35" s="204">
        <f t="shared" si="19"/>
        <v>71</v>
      </c>
      <c r="O35" s="141"/>
      <c r="P35" s="141"/>
      <c r="Q35" s="141"/>
      <c r="R35" s="141"/>
      <c r="S35" s="141"/>
      <c r="T35" s="15"/>
      <c r="U35" s="15"/>
      <c r="V35" s="15"/>
      <c r="W35" s="15">
        <f>D50_X*'[1]References'!BH11+D50_Y*'[1]References'!BK11+D50_Z*'[1]References'!BN11</f>
        <v>0.14295766948336627</v>
      </c>
      <c r="X35" s="15">
        <f>D50_X*'[1]References'!BI11+D50_Y*'[1]References'!BL11+D50_Z*'[1]References'!BO11</f>
        <v>0.08199684691314735</v>
      </c>
      <c r="Y35" s="15">
        <f>D50_X*'[1]References'!BJ11+D50_Y*'[1]References'!BM11+D50_Z*'[1]References'!BP11</f>
        <v>0.05467465593143675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2:35" ht="12.75">
      <c r="B36" s="60">
        <v>600</v>
      </c>
      <c r="C36" s="176">
        <v>0.135991</v>
      </c>
      <c r="D36" s="177">
        <v>1</v>
      </c>
      <c r="E36" s="15"/>
      <c r="F36" s="156" t="s">
        <v>57</v>
      </c>
      <c r="G36" s="157"/>
      <c r="H36" s="134" t="s">
        <v>38</v>
      </c>
      <c r="I36" s="202">
        <f>IF(W36&lt;0,-POWER(-W36,1/'[1]References'!$BQ12),POWER(W36,1/'[1]References'!$BQ12))</f>
        <v>0.41748953772859493</v>
      </c>
      <c r="J36" s="202">
        <f>IF(X36&lt;0,-POWER(-X36,1/'[1]References'!$BQ12),POWER(X36,1/'[1]References'!$BQ12))</f>
        <v>0.32261773873181804</v>
      </c>
      <c r="K36" s="202">
        <f>IF(Y36&lt;0,-POWER(-Y36,1/'[1]References'!$BQ12),POWER(Y36,1/'[1]References'!$BQ12))</f>
        <v>0.26872053320281125</v>
      </c>
      <c r="L36" s="203">
        <f t="shared" si="19"/>
        <v>106</v>
      </c>
      <c r="M36" s="203">
        <f t="shared" si="19"/>
        <v>82</v>
      </c>
      <c r="N36" s="204">
        <f t="shared" si="19"/>
        <v>69</v>
      </c>
      <c r="O36" s="141"/>
      <c r="P36" s="141"/>
      <c r="Q36" s="141"/>
      <c r="R36" s="141"/>
      <c r="S36" s="141"/>
      <c r="T36" s="15"/>
      <c r="U36" s="15"/>
      <c r="V36" s="15"/>
      <c r="W36" s="15">
        <f>D50_X*'[1]References'!BH12+D50_Y*'[1]References'!BK12+D50_Z*'[1]References'!BN12</f>
        <v>0.14635929619855972</v>
      </c>
      <c r="X36" s="15">
        <f>D50_X*'[1]References'!BI12+D50_Y*'[1]References'!BL12+D50_Z*'[1]References'!BO12</f>
        <v>0.08300688841534541</v>
      </c>
      <c r="Y36" s="15">
        <f>D50_X*'[1]References'!BJ12+D50_Y*'[1]References'!BM12+D50_Z*'[1]References'!BP12</f>
        <v>0.05552158756145185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2:35" ht="12.75">
      <c r="B37" s="60">
        <v>610</v>
      </c>
      <c r="C37" s="176">
        <v>0.143887</v>
      </c>
      <c r="D37" s="177">
        <v>1</v>
      </c>
      <c r="E37" s="15"/>
      <c r="F37" s="156" t="s">
        <v>59</v>
      </c>
      <c r="G37" s="157"/>
      <c r="H37" s="134" t="s">
        <v>22</v>
      </c>
      <c r="I37" s="202">
        <f>IF(W37&lt;0,-POWER(-W37,1/'[1]References'!$BQ13),POWER(W37,1/'[1]References'!$BQ13))</f>
        <v>0.41046945166066695</v>
      </c>
      <c r="J37" s="202">
        <f>IF(X37&lt;0,-POWER(-X37,1/'[1]References'!$BQ13),POWER(X37,1/'[1]References'!$BQ13))</f>
        <v>0.32287466051045965</v>
      </c>
      <c r="K37" s="202">
        <f>IF(Y37&lt;0,-POWER(-Y37,1/'[1]References'!$BQ13),POWER(Y37,1/'[1]References'!$BQ13))</f>
        <v>0.2685623695441505</v>
      </c>
      <c r="L37" s="203">
        <f t="shared" si="19"/>
        <v>105</v>
      </c>
      <c r="M37" s="203">
        <f t="shared" si="19"/>
        <v>82</v>
      </c>
      <c r="N37" s="204">
        <f t="shared" si="19"/>
        <v>68</v>
      </c>
      <c r="O37" s="141"/>
      <c r="P37" s="141"/>
      <c r="Q37" s="141"/>
      <c r="R37" s="141"/>
      <c r="S37" s="141"/>
      <c r="T37" s="15"/>
      <c r="U37" s="15"/>
      <c r="V37" s="15"/>
      <c r="W37" s="15">
        <f>C_X*'[1]References'!BH13+C_Y*'[1]References'!BK13+C_Z*'[1]References'!BN13</f>
        <v>0.14099959026203007</v>
      </c>
      <c r="X37" s="15">
        <f>C_X*'[1]References'!BI13+C_Y*'[1]References'!BL13+C_Z*'[1]References'!BO13</f>
        <v>0.0831523863967236</v>
      </c>
      <c r="Y37" s="15">
        <f>C_X*'[1]References'!BJ13+C_Y*'[1]References'!BM13+C_Z*'[1]References'!BP13</f>
        <v>0.05544971932052012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2:35" ht="12.75">
      <c r="B38" s="60">
        <v>620</v>
      </c>
      <c r="C38" s="176">
        <v>0.151092</v>
      </c>
      <c r="D38" s="177">
        <v>1</v>
      </c>
      <c r="E38" s="15"/>
      <c r="F38" s="158" t="s">
        <v>61</v>
      </c>
      <c r="G38" s="155"/>
      <c r="H38" s="154" t="s">
        <v>39</v>
      </c>
      <c r="I38" s="187">
        <f>IF(W38&lt;0,-POWER(-W38,1/'[1]References'!$BQ14),POWER(W38,1/'[1]References'!$BQ14))</f>
        <v>0.44320829463263745</v>
      </c>
      <c r="J38" s="187">
        <f>IF(X38&lt;0,-POWER(-X38,1/'[1]References'!$BQ14),POWER(X38,1/'[1]References'!$BQ14))</f>
        <v>0.31594140265788634</v>
      </c>
      <c r="K38" s="187">
        <f>IF(Y38&lt;0,-POWER(-Y38,1/'[1]References'!$BQ14),POWER(Y38,1/'[1]References'!$BQ14))</f>
        <v>0.25964426138208424</v>
      </c>
      <c r="L38" s="205">
        <f t="shared" si="19"/>
        <v>113</v>
      </c>
      <c r="M38" s="205">
        <f t="shared" si="19"/>
        <v>81</v>
      </c>
      <c r="N38" s="206">
        <f t="shared" si="19"/>
        <v>66</v>
      </c>
      <c r="O38" s="141"/>
      <c r="P38" s="141"/>
      <c r="Q38" s="141"/>
      <c r="R38" s="141"/>
      <c r="S38" s="141"/>
      <c r="T38" s="15"/>
      <c r="U38" s="15"/>
      <c r="V38" s="15"/>
      <c r="W38" s="15">
        <f>D65_X*'[1]References'!BH14+D65_Y*'[1]References'!BK14+D65_Z*'[1]References'!BN14</f>
        <v>0.16693113072748508</v>
      </c>
      <c r="X38" s="15">
        <f>D65_X*'[1]References'!BI14+D65_Y*'[1]References'!BL14+D65_Z*'[1]References'!BO14</f>
        <v>0.0792746607576076</v>
      </c>
      <c r="Y38" s="15">
        <f>D65_X*'[1]References'!BJ14+D65_Y*'[1]References'!BM14+D65_Z*'[1]References'!BP14</f>
        <v>0.051479367500253996</v>
      </c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2:35" ht="12.75">
      <c r="B39" s="60">
        <v>630</v>
      </c>
      <c r="C39" s="176">
        <v>0.158961</v>
      </c>
      <c r="D39" s="177">
        <v>1</v>
      </c>
      <c r="E39" s="15"/>
      <c r="F39" s="156" t="s">
        <v>62</v>
      </c>
      <c r="G39" s="157"/>
      <c r="H39" s="134" t="s">
        <v>38</v>
      </c>
      <c r="I39" s="202">
        <f>IF(W39&lt;0,-POWER(-W39,1/'[1]References'!$BQ15),POWER(W39,1/'[1]References'!$BQ15))</f>
        <v>0.3177099627094994</v>
      </c>
      <c r="J39" s="202">
        <f>IF(X39&lt;0,-POWER(-X39,1/'[1]References'!$BQ15),POWER(X39,1/'[1]References'!$BQ15))</f>
        <v>0.25959029321850646</v>
      </c>
      <c r="K39" s="202">
        <f>IF(Y39&lt;0,-POWER(-Y39,1/'[1]References'!$BQ15),POWER(Y39,1/'[1]References'!$BQ15))</f>
        <v>0.2034615585432224</v>
      </c>
      <c r="L39" s="203">
        <f t="shared" si="19"/>
        <v>81</v>
      </c>
      <c r="M39" s="203">
        <f t="shared" si="19"/>
        <v>66</v>
      </c>
      <c r="N39" s="204">
        <f t="shared" si="19"/>
        <v>52</v>
      </c>
      <c r="O39" s="141"/>
      <c r="P39" s="141"/>
      <c r="Q39" s="141"/>
      <c r="R39" s="141"/>
      <c r="S39" s="141"/>
      <c r="T39" s="15"/>
      <c r="U39" s="15"/>
      <c r="V39" s="15"/>
      <c r="W39" s="15">
        <f>D50_X*'[1]References'!BH15+D50_Y*'[1]References'!BK15+D50_Z*'[1]References'!BN15</f>
        <v>0.1269566635290914</v>
      </c>
      <c r="X39" s="15">
        <f>D50_X*'[1]References'!BI15+D50_Y*'[1]References'!BL15+D50_Z*'[1]References'!BO15</f>
        <v>0.08825091322422737</v>
      </c>
      <c r="Y39" s="15">
        <f>D50_X*'[1]References'!BJ15+D50_Y*'[1]References'!BM15+D50_Z*'[1]References'!BP15</f>
        <v>0.05692044156137047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2:35" ht="12.75">
      <c r="B40" s="60">
        <v>640</v>
      </c>
      <c r="C40" s="176">
        <v>0.168788</v>
      </c>
      <c r="D40" s="177">
        <v>1</v>
      </c>
      <c r="E40" s="15"/>
      <c r="F40" s="156" t="s">
        <v>64</v>
      </c>
      <c r="G40" s="157"/>
      <c r="H40" s="134" t="s">
        <v>39</v>
      </c>
      <c r="I40" s="202">
        <f>IF(W40&lt;0,-POWER(-W40,1/'[1]References'!$BQ16),POWER(W40,1/'[1]References'!$BQ16))</f>
        <v>0.4552213497775762</v>
      </c>
      <c r="J40" s="202">
        <f>IF(X40&lt;0,-POWER(-X40,1/'[1]References'!$BQ16),POWER(X40,1/'[1]References'!$BQ16))</f>
        <v>0.31350936260198087</v>
      </c>
      <c r="K40" s="202">
        <f>IF(Y40&lt;0,-POWER(-Y40,1/'[1]References'!$BQ16),POWER(Y40,1/'[1]References'!$BQ16))</f>
        <v>0.2611140933709613</v>
      </c>
      <c r="L40" s="203">
        <f t="shared" si="19"/>
        <v>116</v>
      </c>
      <c r="M40" s="203">
        <f t="shared" si="19"/>
        <v>80</v>
      </c>
      <c r="N40" s="204">
        <f t="shared" si="19"/>
        <v>67</v>
      </c>
      <c r="O40" s="141"/>
      <c r="P40" s="141"/>
      <c r="Q40" s="141"/>
      <c r="R40" s="141"/>
      <c r="S40" s="141"/>
      <c r="T40" s="15"/>
      <c r="U40" s="15"/>
      <c r="V40" s="15"/>
      <c r="W40" s="15">
        <f>D65_X*'[1]References'!BH16+D65_Y*'[1]References'!BK16+D65_Z*'[1]References'!BN16</f>
        <v>0.17704748781438817</v>
      </c>
      <c r="X40" s="15">
        <f>D65_X*'[1]References'!BI16+D65_Y*'[1]References'!BL16+D65_Z*'[1]References'!BO16</f>
        <v>0.07793833669712072</v>
      </c>
      <c r="Y40" s="15">
        <f>D65_X*'[1]References'!BJ16+D65_Y*'[1]References'!BM16+D65_Z*'[1]References'!BP16</f>
        <v>0.052122674111842134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2:35" ht="12.75">
      <c r="B41" s="60">
        <v>650</v>
      </c>
      <c r="C41" s="176">
        <v>0.182785</v>
      </c>
      <c r="D41" s="177">
        <v>1</v>
      </c>
      <c r="E41" s="15"/>
      <c r="F41" s="156" t="s">
        <v>66</v>
      </c>
      <c r="G41" s="157"/>
      <c r="H41" s="134" t="s">
        <v>39</v>
      </c>
      <c r="I41" s="202">
        <f>IF(W41&lt;0,IF(W41&gt;=-0.0031308,W41*12.92,-(1.055*POWER(-W41,1/'[1]References'!$BQ17)-0.055)),IF(W41&lt;=0.0031308,W41*12.92,1.055*POWER(W41,1/'[1]References'!$BQ17)-0.055))</f>
        <v>0.45017975782812686</v>
      </c>
      <c r="J41" s="202">
        <f>IF(X41&lt;0,IF(X41&gt;=-0.0031308,X41*12.92,-(1.055*POWER(-X41,1/'[1]References'!$BQ17)-0.055)),IF(X41&lt;=0.0031308,X41*12.92,1.055*POWER(X41,1/'[1]References'!$BQ17)-0.055))</f>
        <v>0.31190907737718515</v>
      </c>
      <c r="K41" s="202">
        <f>IF(Y41&lt;0,IF(Y41&gt;=-0.0031308,Y41*12.92,-(1.055*POWER(-Y41,1/'[1]References'!$BQ17)-0.055)),IF(Y41&lt;=0.0031308,Y41*12.92,1.055*POWER(Y41,1/'[1]References'!$BQ17)-0.055))</f>
        <v>0.2523135914758992</v>
      </c>
      <c r="L41" s="203">
        <f t="shared" si="19"/>
        <v>115</v>
      </c>
      <c r="M41" s="203">
        <f t="shared" si="19"/>
        <v>80</v>
      </c>
      <c r="N41" s="204">
        <f t="shared" si="19"/>
        <v>64</v>
      </c>
      <c r="O41" s="141"/>
      <c r="P41" s="141"/>
      <c r="Q41" s="141"/>
      <c r="R41" s="141"/>
      <c r="S41" s="141"/>
      <c r="T41" s="15"/>
      <c r="U41" s="15"/>
      <c r="V41" s="15"/>
      <c r="W41" s="15">
        <f>D65_X*'[1]References'!BH17+D65_Y*'[1]References'!BK17+D65_Z*'[1]References'!BN17</f>
        <v>0.1707907531935202</v>
      </c>
      <c r="X41" s="15">
        <f>D65_X*'[1]References'!BI17+D65_Y*'[1]References'!BL17+D65_Z*'[1]References'!BO17</f>
        <v>0.0792746607576076</v>
      </c>
      <c r="Y41" s="15">
        <f>D65_X*'[1]References'!BJ17+D65_Y*'[1]References'!BM17+D65_Z*'[1]References'!BP17</f>
        <v>0.05180722618773191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2:35" ht="13.5" thickBot="1">
      <c r="B42" s="60">
        <v>660</v>
      </c>
      <c r="C42" s="176">
        <v>0.199583</v>
      </c>
      <c r="D42" s="177">
        <v>1</v>
      </c>
      <c r="E42" s="15"/>
      <c r="F42" s="159" t="s">
        <v>67</v>
      </c>
      <c r="G42" s="160"/>
      <c r="H42" s="161" t="s">
        <v>38</v>
      </c>
      <c r="I42" s="194">
        <f>IF(W42&lt;0,-POWER(-W42,1/'[1]References'!$BQ18),POWER(W42,1/'[1]References'!$BQ18))</f>
        <v>0.40516259928052684</v>
      </c>
      <c r="J42" s="194">
        <f>IF(X42&lt;0,-POWER(-X42,1/'[1]References'!$BQ18),POWER(X42,1/'[1]References'!$BQ18))</f>
        <v>0.3296395304696671</v>
      </c>
      <c r="K42" s="195">
        <f>IF(Y42&lt;0,-POWER(-Y42,1/'[1]References'!$BQ18),POWER(Y42,1/'[1]References'!$BQ18))</f>
        <v>0.26735883664564125</v>
      </c>
      <c r="L42" s="207">
        <f t="shared" si="19"/>
        <v>103</v>
      </c>
      <c r="M42" s="207">
        <f t="shared" si="19"/>
        <v>84</v>
      </c>
      <c r="N42" s="208">
        <f t="shared" si="19"/>
        <v>68</v>
      </c>
      <c r="O42" s="141"/>
      <c r="P42" s="141"/>
      <c r="Q42" s="141"/>
      <c r="R42" s="141"/>
      <c r="S42" s="141"/>
      <c r="T42" s="15"/>
      <c r="U42" s="15"/>
      <c r="V42" s="15"/>
      <c r="W42" s="15">
        <f>D50_X*'[1]References'!BH18+D50_Y*'[1]References'!BK18+D50_Z*'[1]References'!BN18</f>
        <v>0.13702019050931102</v>
      </c>
      <c r="X42" s="15">
        <f>D50_X*'[1]References'!BI18+D50_Y*'[1]References'!BL18+D50_Z*'[1]References'!BO18</f>
        <v>0.08703349646275377</v>
      </c>
      <c r="Y42" s="15">
        <f>D50_X*'[1]References'!BJ18+D50_Y*'[1]References'!BM18+D50_Z*'[1]References'!BP18</f>
        <v>0.0549045067373591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2:35" ht="13.5" thickBot="1">
      <c r="B43" s="60">
        <v>670</v>
      </c>
      <c r="C43" s="176">
        <v>0.218711</v>
      </c>
      <c r="D43" s="177">
        <v>1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2:35" ht="13.5" thickBot="1">
      <c r="B44" s="60">
        <v>680</v>
      </c>
      <c r="C44" s="176">
        <v>0.239679</v>
      </c>
      <c r="D44" s="177">
        <v>1</v>
      </c>
      <c r="E44" s="15"/>
      <c r="F44" s="162" t="s">
        <v>118</v>
      </c>
      <c r="G44" s="163" t="s">
        <v>35</v>
      </c>
      <c r="H44" s="164" t="s">
        <v>36</v>
      </c>
      <c r="I44" s="163" t="s">
        <v>37</v>
      </c>
      <c r="J44" s="165" t="s">
        <v>32</v>
      </c>
      <c r="K44" s="15"/>
      <c r="L44" s="15"/>
      <c r="M44" s="15"/>
      <c r="N44" s="141"/>
      <c r="O44" s="141"/>
      <c r="P44" s="141"/>
      <c r="Q44" s="141"/>
      <c r="R44" s="141"/>
      <c r="S44" s="141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2:35" ht="12.75">
      <c r="B45" s="67">
        <v>690</v>
      </c>
      <c r="C45" s="178">
        <v>0.261753</v>
      </c>
      <c r="D45" s="179">
        <v>1</v>
      </c>
      <c r="E45" s="15"/>
      <c r="F45" s="166" t="s">
        <v>4</v>
      </c>
      <c r="G45" s="209">
        <f>-LOG10(SUMPRODUCT(Sample,Den_StatusA_R)/SUM(Den_StatusA_R))</f>
        <v>0.7975340088190112</v>
      </c>
      <c r="H45" s="210">
        <f>-LOG10(SUMPRODUCT(Sample,Den_StatusA_G)/SUM(Den_StatusA_G))</f>
        <v>1.119508704853921</v>
      </c>
      <c r="I45" s="209">
        <f>-LOG10(SUMPRODUCT(Sample,Den_StatusA_B)/SUM(Den_StatusA_B))</f>
        <v>1.2493501962007463</v>
      </c>
      <c r="J45" s="167" t="s">
        <v>119</v>
      </c>
      <c r="K45" s="15"/>
      <c r="L45" s="15"/>
      <c r="M45" s="15"/>
      <c r="N45" s="141"/>
      <c r="O45" s="141"/>
      <c r="P45" s="141"/>
      <c r="Q45" s="141"/>
      <c r="R45" s="141"/>
      <c r="S45" s="141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2:35" ht="12.75">
      <c r="B46" s="60">
        <v>700</v>
      </c>
      <c r="C46" s="176">
        <v>0.285176</v>
      </c>
      <c r="D46" s="177">
        <v>1</v>
      </c>
      <c r="E46" s="15"/>
      <c r="F46" s="166" t="s">
        <v>5</v>
      </c>
      <c r="G46" s="209">
        <f>-LOG10(SUMPRODUCT(Sample,Den_StatusE_R)/SUM(Den_StatusE_R))</f>
        <v>0.8418279680620265</v>
      </c>
      <c r="H46" s="210">
        <f>-LOG10(SUMPRODUCT(Sample,Den_StatusE_G)/SUM(Den_StatusE_G))</f>
        <v>1.1170314233936283</v>
      </c>
      <c r="I46" s="209">
        <f>-LOG10(SUMPRODUCT(Sample,Den_StatusE_B)/SUM(Den_StatusE_B))</f>
        <v>1.2411451435985563</v>
      </c>
      <c r="J46" s="167" t="s">
        <v>119</v>
      </c>
      <c r="K46" s="15"/>
      <c r="L46" s="15"/>
      <c r="M46" s="15"/>
      <c r="N46" s="141"/>
      <c r="O46" s="141"/>
      <c r="P46" s="141"/>
      <c r="Q46" s="141"/>
      <c r="R46" s="141"/>
      <c r="S46" s="141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2:35" ht="12.75">
      <c r="B47" s="60">
        <v>710</v>
      </c>
      <c r="C47" s="176">
        <v>0</v>
      </c>
      <c r="D47" s="177">
        <v>1</v>
      </c>
      <c r="E47" s="15"/>
      <c r="F47" s="166" t="s">
        <v>6</v>
      </c>
      <c r="G47" s="209">
        <f>-LOG10(SUMPRODUCT(Sample,Den_StatusM_R)/SUM(Den_StatusM_R))</f>
        <v>0.7396776479415492</v>
      </c>
      <c r="H47" s="210">
        <f>-LOG10(SUMPRODUCT(Sample,Den_StatusM_G)/SUM(Den_StatusM_G))</f>
        <v>1.0977699074560174</v>
      </c>
      <c r="I47" s="209">
        <f>-LOG10(SUMPRODUCT(Sample,Den_StatusM_B)/SUM(Den_StatusM_B))</f>
        <v>1.254372239747251</v>
      </c>
      <c r="J47" s="167" t="s">
        <v>119</v>
      </c>
      <c r="K47" s="15"/>
      <c r="L47" s="15"/>
      <c r="M47" s="15"/>
      <c r="N47" s="141"/>
      <c r="O47" s="141"/>
      <c r="P47" s="141"/>
      <c r="Q47" s="141"/>
      <c r="R47" s="141"/>
      <c r="S47" s="141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2:35" ht="12.75">
      <c r="B48" s="60">
        <v>720</v>
      </c>
      <c r="C48" s="176">
        <v>0</v>
      </c>
      <c r="D48" s="177">
        <v>1</v>
      </c>
      <c r="E48" s="15"/>
      <c r="F48" s="166" t="s">
        <v>7</v>
      </c>
      <c r="G48" s="209">
        <f>-LOG10(SUMPRODUCT(Sample,Den_StatusT_R)/SUM(Den_StatusT_R))</f>
        <v>0.8418037547567462</v>
      </c>
      <c r="H48" s="210">
        <f>-LOG10(SUMPRODUCT(Sample,Den_StatusT_G)/SUM(Den_StatusT_G))</f>
        <v>1.1170283503817475</v>
      </c>
      <c r="I48" s="209">
        <f>-LOG10(SUMPRODUCT(Sample,Den_StatusT_B)/SUM(Den_StatusT_B))</f>
        <v>1.2402204410775857</v>
      </c>
      <c r="J48" s="167" t="s">
        <v>119</v>
      </c>
      <c r="K48" s="15"/>
      <c r="L48" s="15"/>
      <c r="M48" s="15"/>
      <c r="N48" s="141"/>
      <c r="O48" s="141"/>
      <c r="P48" s="141"/>
      <c r="Q48" s="141"/>
      <c r="R48" s="141"/>
      <c r="S48" s="141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2:35" ht="12.75">
      <c r="B49" s="60">
        <v>730</v>
      </c>
      <c r="C49" s="176">
        <v>0</v>
      </c>
      <c r="D49" s="177">
        <v>1</v>
      </c>
      <c r="E49" s="15"/>
      <c r="F49" s="60" t="s">
        <v>32</v>
      </c>
      <c r="G49" s="168" t="s">
        <v>119</v>
      </c>
      <c r="H49" s="169" t="s">
        <v>119</v>
      </c>
      <c r="I49" s="168" t="s">
        <v>119</v>
      </c>
      <c r="J49" s="211">
        <f>-LOG10(SUMPRODUCT(Sample,Den_Visual)/SUM(Den_Visual))</f>
        <v>0.9640045442614632</v>
      </c>
      <c r="K49" s="15"/>
      <c r="L49" s="15"/>
      <c r="M49" s="15"/>
      <c r="N49" s="141"/>
      <c r="O49" s="141"/>
      <c r="P49" s="141"/>
      <c r="Q49" s="141"/>
      <c r="R49" s="141"/>
      <c r="S49" s="141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2:35" ht="12.75">
      <c r="B50" s="60">
        <v>740</v>
      </c>
      <c r="C50" s="176">
        <v>0</v>
      </c>
      <c r="D50" s="177">
        <v>1</v>
      </c>
      <c r="E50" s="15"/>
      <c r="F50" s="60" t="s">
        <v>33</v>
      </c>
      <c r="G50" s="168" t="s">
        <v>119</v>
      </c>
      <c r="H50" s="169" t="s">
        <v>119</v>
      </c>
      <c r="I50" s="168" t="s">
        <v>119</v>
      </c>
      <c r="J50" s="211">
        <f>-LOG10(SUMPRODUCT(Sample,Den_Type1)/SUM(Den_Type1))</f>
        <v>1.2805695622826538</v>
      </c>
      <c r="K50" s="15"/>
      <c r="L50" s="15"/>
      <c r="M50" s="15"/>
      <c r="N50" s="141"/>
      <c r="O50" s="141"/>
      <c r="P50" s="141"/>
      <c r="Q50" s="141"/>
      <c r="R50" s="141"/>
      <c r="S50" s="141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2:35" ht="13.5" thickBot="1">
      <c r="B51" s="60">
        <v>750</v>
      </c>
      <c r="C51" s="176">
        <v>0</v>
      </c>
      <c r="D51" s="177">
        <v>1</v>
      </c>
      <c r="E51" s="15"/>
      <c r="F51" s="104" t="s">
        <v>34</v>
      </c>
      <c r="G51" s="170" t="s">
        <v>119</v>
      </c>
      <c r="H51" s="171" t="s">
        <v>119</v>
      </c>
      <c r="I51" s="170" t="s">
        <v>119</v>
      </c>
      <c r="J51" s="212">
        <f>-LOG10(SUMPRODUCT(Sample,Den_Type2)/SUM(Den_Type2))</f>
        <v>1.3212229355880363</v>
      </c>
      <c r="K51" s="15"/>
      <c r="L51" s="15"/>
      <c r="M51" s="15"/>
      <c r="N51" s="141"/>
      <c r="O51" s="141"/>
      <c r="P51" s="141"/>
      <c r="Q51" s="141"/>
      <c r="R51" s="141"/>
      <c r="S51" s="141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2:35" ht="12.75">
      <c r="B52" s="60">
        <v>760</v>
      </c>
      <c r="C52" s="176">
        <v>0</v>
      </c>
      <c r="D52" s="177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41"/>
      <c r="O52" s="141"/>
      <c r="P52" s="141"/>
      <c r="Q52" s="141"/>
      <c r="R52" s="141"/>
      <c r="S52" s="141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2:35" ht="12.75">
      <c r="B53" s="60">
        <v>770</v>
      </c>
      <c r="C53" s="176">
        <v>0</v>
      </c>
      <c r="D53" s="177">
        <v>1</v>
      </c>
      <c r="E53" s="15"/>
      <c r="F53" s="15"/>
      <c r="G53" s="15"/>
      <c r="H53" s="15"/>
      <c r="I53" s="15"/>
      <c r="J53" s="15"/>
      <c r="K53" s="15"/>
      <c r="L53" s="15"/>
      <c r="M53" s="15"/>
      <c r="N53" s="141"/>
      <c r="O53" s="141"/>
      <c r="P53" s="141"/>
      <c r="Q53" s="141"/>
      <c r="R53" s="141"/>
      <c r="S53" s="141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2:35" ht="12.75">
      <c r="B54" s="60">
        <v>780</v>
      </c>
      <c r="C54" s="176">
        <v>0</v>
      </c>
      <c r="D54" s="177">
        <v>1</v>
      </c>
      <c r="E54" s="15"/>
      <c r="F54" s="15"/>
      <c r="G54" s="15"/>
      <c r="H54" s="15"/>
      <c r="I54" s="15"/>
      <c r="J54" s="15"/>
      <c r="K54" s="15"/>
      <c r="L54" s="15"/>
      <c r="M54" s="15"/>
      <c r="N54" s="141"/>
      <c r="O54" s="141"/>
      <c r="P54" s="141"/>
      <c r="Q54" s="141"/>
      <c r="R54" s="141"/>
      <c r="S54" s="141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2:35" ht="12.75">
      <c r="B55" s="67">
        <v>790</v>
      </c>
      <c r="C55" s="178">
        <v>0</v>
      </c>
      <c r="D55" s="179">
        <v>1</v>
      </c>
      <c r="E55" s="15"/>
      <c r="F55" s="15"/>
      <c r="G55" s="15"/>
      <c r="H55" s="15"/>
      <c r="I55" s="15"/>
      <c r="J55" s="15"/>
      <c r="K55" s="15"/>
      <c r="L55" s="15"/>
      <c r="M55" s="15"/>
      <c r="N55" s="141"/>
      <c r="O55" s="141"/>
      <c r="P55" s="141"/>
      <c r="Q55" s="141"/>
      <c r="R55" s="141"/>
      <c r="S55" s="141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2:35" ht="12.75">
      <c r="B56" s="60">
        <v>800</v>
      </c>
      <c r="C56" s="176">
        <v>0</v>
      </c>
      <c r="D56" s="177">
        <v>1</v>
      </c>
      <c r="E56" s="15"/>
      <c r="F56" s="15"/>
      <c r="G56" s="15"/>
      <c r="H56" s="15"/>
      <c r="I56" s="15"/>
      <c r="J56" s="15"/>
      <c r="K56" s="15"/>
      <c r="L56" s="15"/>
      <c r="M56" s="15"/>
      <c r="N56" s="141"/>
      <c r="O56" s="141"/>
      <c r="P56" s="141"/>
      <c r="Q56" s="141"/>
      <c r="R56" s="141"/>
      <c r="S56" s="14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2:35" ht="12.75">
      <c r="B57" s="60">
        <v>810</v>
      </c>
      <c r="C57" s="176">
        <v>0</v>
      </c>
      <c r="D57" s="177">
        <v>1</v>
      </c>
      <c r="E57" s="15"/>
      <c r="F57" s="139"/>
      <c r="G57" s="139"/>
      <c r="H57" s="139"/>
      <c r="I57" s="139"/>
      <c r="J57" s="139"/>
      <c r="K57" s="15"/>
      <c r="L57" s="15"/>
      <c r="M57" s="15"/>
      <c r="N57" s="141"/>
      <c r="O57" s="141"/>
      <c r="P57" s="141"/>
      <c r="Q57" s="141"/>
      <c r="R57" s="141"/>
      <c r="S57" s="141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2:35" ht="12.75">
      <c r="B58" s="60">
        <v>820</v>
      </c>
      <c r="C58" s="176">
        <v>0</v>
      </c>
      <c r="D58" s="177">
        <v>1</v>
      </c>
      <c r="E58" s="15"/>
      <c r="F58" s="139"/>
      <c r="G58" s="139"/>
      <c r="H58" s="139"/>
      <c r="I58" s="139"/>
      <c r="J58" s="139"/>
      <c r="K58" s="15"/>
      <c r="L58" s="15"/>
      <c r="M58" s="15"/>
      <c r="N58" s="141"/>
      <c r="O58" s="141"/>
      <c r="P58" s="141"/>
      <c r="Q58" s="141"/>
      <c r="R58" s="141"/>
      <c r="S58" s="141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2:35" ht="13.5" thickBot="1">
      <c r="B59" s="104">
        <v>830</v>
      </c>
      <c r="C59" s="180">
        <v>0</v>
      </c>
      <c r="D59" s="181">
        <v>1</v>
      </c>
      <c r="E59" s="15"/>
      <c r="F59" s="139"/>
      <c r="G59" s="139"/>
      <c r="H59" s="139"/>
      <c r="I59" s="139"/>
      <c r="J59" s="139"/>
      <c r="K59" s="15"/>
      <c r="L59" s="15"/>
      <c r="M59" s="15"/>
      <c r="N59" s="141"/>
      <c r="O59" s="141"/>
      <c r="P59" s="141"/>
      <c r="Q59" s="141"/>
      <c r="R59" s="141"/>
      <c r="S59" s="141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2:35" ht="12.75">
      <c r="B60" s="121"/>
      <c r="C60" s="121"/>
      <c r="D60" s="121"/>
      <c r="E60" s="15"/>
      <c r="F60" s="139"/>
      <c r="G60" s="139"/>
      <c r="H60" s="139"/>
      <c r="I60" s="139"/>
      <c r="J60" s="139"/>
      <c r="K60" s="15"/>
      <c r="L60" s="15"/>
      <c r="M60" s="15"/>
      <c r="N60" s="141"/>
      <c r="O60" s="141"/>
      <c r="P60" s="141"/>
      <c r="Q60" s="141"/>
      <c r="R60" s="141"/>
      <c r="S60" s="141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2:35" ht="12.75">
      <c r="B61" s="121"/>
      <c r="C61" s="121"/>
      <c r="D61" s="121"/>
      <c r="E61" s="15"/>
      <c r="F61" s="139" t="s">
        <v>28</v>
      </c>
      <c r="G61" s="139" t="s">
        <v>120</v>
      </c>
      <c r="H61" s="139"/>
      <c r="I61" s="139"/>
      <c r="J61" s="139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2:35" ht="12.75">
      <c r="B62" s="121"/>
      <c r="C62" s="121"/>
      <c r="D62" s="121"/>
      <c r="E62" s="15"/>
      <c r="F62" s="139" t="s">
        <v>121</v>
      </c>
      <c r="G62" s="139" t="s">
        <v>122</v>
      </c>
      <c r="H62" s="139"/>
      <c r="I62" s="139"/>
      <c r="J62" s="139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2:35" ht="12.75">
      <c r="B63" s="121"/>
      <c r="C63" s="121"/>
      <c r="D63" s="121"/>
      <c r="E63" s="15"/>
      <c r="F63" s="139" t="s">
        <v>123</v>
      </c>
      <c r="G63" s="139" t="s">
        <v>124</v>
      </c>
      <c r="H63" s="139"/>
      <c r="I63" s="139"/>
      <c r="J63" s="139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2:35" ht="12.75">
      <c r="B64" s="121"/>
      <c r="C64" s="121"/>
      <c r="D64" s="121"/>
      <c r="E64" s="15"/>
      <c r="F64" s="139" t="s">
        <v>125</v>
      </c>
      <c r="G64" s="139" t="s">
        <v>126</v>
      </c>
      <c r="H64" s="139"/>
      <c r="I64" s="139"/>
      <c r="J64" s="139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2:35" ht="12.75">
      <c r="B65" s="121"/>
      <c r="C65" s="121"/>
      <c r="D65" s="121"/>
      <c r="E65" s="15"/>
      <c r="F65" s="139" t="s">
        <v>127</v>
      </c>
      <c r="G65" s="139" t="s">
        <v>128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2:35" ht="12.75">
      <c r="B66" s="121"/>
      <c r="C66" s="121"/>
      <c r="D66" s="121"/>
      <c r="E66" s="15"/>
      <c r="F66" s="139" t="s">
        <v>129</v>
      </c>
      <c r="G66" s="139" t="s">
        <v>130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2:35" ht="12.75">
      <c r="B67" s="121"/>
      <c r="C67" s="121"/>
      <c r="D67" s="121"/>
      <c r="E67" s="15"/>
      <c r="F67" s="139" t="s">
        <v>131</v>
      </c>
      <c r="G67" s="139" t="s">
        <v>132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2:35" ht="12.75">
      <c r="B68" s="121"/>
      <c r="C68" s="121"/>
      <c r="D68" s="121"/>
      <c r="E68" s="15"/>
      <c r="F68" s="139" t="s">
        <v>133</v>
      </c>
      <c r="G68" s="139" t="s">
        <v>134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2:35" ht="12.75">
      <c r="B69" s="121"/>
      <c r="C69" s="121"/>
      <c r="D69" s="121"/>
      <c r="E69" s="15"/>
      <c r="F69" s="139" t="s">
        <v>135</v>
      </c>
      <c r="G69" s="139" t="s">
        <v>136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2:35" ht="12.75">
      <c r="B70" s="121"/>
      <c r="C70" s="121"/>
      <c r="D70" s="121"/>
      <c r="E70" s="15"/>
      <c r="F70" s="139" t="s">
        <v>137</v>
      </c>
      <c r="G70" s="139" t="s">
        <v>138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2:35" ht="12.75">
      <c r="B71" s="121"/>
      <c r="C71" s="121"/>
      <c r="D71" s="121"/>
      <c r="E71" s="15"/>
      <c r="F71" s="139" t="s">
        <v>139</v>
      </c>
      <c r="G71" s="139" t="s">
        <v>140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2:35" ht="12.75">
      <c r="B72" s="121"/>
      <c r="C72" s="121"/>
      <c r="D72" s="121"/>
      <c r="E72" s="15"/>
      <c r="F72" s="139" t="s">
        <v>141</v>
      </c>
      <c r="G72" s="139" t="s">
        <v>142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2:35" ht="12.75">
      <c r="B73" s="121"/>
      <c r="C73" s="121"/>
      <c r="D73" s="121"/>
      <c r="E73" s="15"/>
      <c r="F73" s="139" t="s">
        <v>143</v>
      </c>
      <c r="G73" s="139" t="s">
        <v>144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2:35" ht="12.75">
      <c r="B74" s="121"/>
      <c r="C74" s="121"/>
      <c r="D74" s="121"/>
      <c r="E74" s="15"/>
      <c r="F74" s="139" t="s">
        <v>145</v>
      </c>
      <c r="G74" s="139" t="s">
        <v>146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2:35" ht="12.75">
      <c r="B75" s="121"/>
      <c r="C75" s="121"/>
      <c r="D75" s="121"/>
      <c r="E75" s="15"/>
      <c r="F75" s="139" t="s">
        <v>147</v>
      </c>
      <c r="G75" s="139" t="s">
        <v>148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2:35" ht="12.75">
      <c r="B76" s="121"/>
      <c r="C76" s="121"/>
      <c r="D76" s="121"/>
      <c r="E76" s="15"/>
      <c r="F76" s="139" t="s">
        <v>149</v>
      </c>
      <c r="G76" s="139" t="s">
        <v>150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2:35" ht="12.75">
      <c r="B77" s="121"/>
      <c r="C77" s="121"/>
      <c r="D77" s="121"/>
      <c r="E77" s="15"/>
      <c r="F77" s="139" t="s">
        <v>151</v>
      </c>
      <c r="G77" s="139" t="s">
        <v>152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2:35" ht="12.75">
      <c r="B78" s="121"/>
      <c r="C78" s="121"/>
      <c r="D78" s="121"/>
      <c r="E78" s="15"/>
      <c r="F78" s="139" t="s">
        <v>153</v>
      </c>
      <c r="G78" s="139" t="s">
        <v>154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2:35" ht="12.75">
      <c r="B79" s="121"/>
      <c r="C79" s="121"/>
      <c r="D79" s="121"/>
      <c r="E79" s="15"/>
      <c r="F79" s="139" t="s">
        <v>155</v>
      </c>
      <c r="G79" s="139" t="s">
        <v>156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2:35" ht="12.75">
      <c r="B80" s="121"/>
      <c r="C80" s="121"/>
      <c r="D80" s="121"/>
      <c r="E80" s="15"/>
      <c r="F80" s="139" t="s">
        <v>157</v>
      </c>
      <c r="G80" s="139" t="s">
        <v>158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2:35" ht="12.75">
      <c r="B81" s="121"/>
      <c r="C81" s="121"/>
      <c r="D81" s="121"/>
      <c r="E81" s="15"/>
      <c r="F81" s="139" t="s">
        <v>159</v>
      </c>
      <c r="G81" s="139" t="s">
        <v>160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2:35" ht="12.75">
      <c r="B82" s="121"/>
      <c r="C82" s="121"/>
      <c r="D82" s="121"/>
      <c r="E82" s="15"/>
      <c r="F82" s="139" t="s">
        <v>161</v>
      </c>
      <c r="G82" s="139" t="s">
        <v>162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2:35" ht="12.75">
      <c r="B83" s="121"/>
      <c r="C83" s="121"/>
      <c r="D83" s="121"/>
      <c r="E83" s="15"/>
      <c r="F83" s="139" t="s">
        <v>163</v>
      </c>
      <c r="G83" s="139" t="s">
        <v>164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2:35" ht="12.75">
      <c r="B84" s="121"/>
      <c r="C84" s="121"/>
      <c r="D84" s="121"/>
      <c r="E84" s="15"/>
      <c r="F84" s="139" t="s">
        <v>165</v>
      </c>
      <c r="G84" s="139" t="s">
        <v>166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2:35" ht="12.75">
      <c r="B85" s="121"/>
      <c r="C85" s="121"/>
      <c r="D85" s="121"/>
      <c r="E85" s="15"/>
      <c r="F85" s="139" t="s">
        <v>167</v>
      </c>
      <c r="G85" s="139" t="s">
        <v>168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2:35" ht="12.75">
      <c r="B86" s="121"/>
      <c r="C86" s="121"/>
      <c r="D86" s="121"/>
      <c r="E86" s="15"/>
      <c r="F86" s="139" t="s">
        <v>169</v>
      </c>
      <c r="G86" s="139" t="s">
        <v>170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2:35" ht="12.75">
      <c r="B87" s="121"/>
      <c r="C87" s="121"/>
      <c r="D87" s="121"/>
      <c r="E87" s="15"/>
      <c r="F87" s="139" t="s">
        <v>171</v>
      </c>
      <c r="G87" s="139" t="s">
        <v>172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2:35" ht="12.75">
      <c r="B88" s="121"/>
      <c r="C88" s="121"/>
      <c r="D88" s="121"/>
      <c r="E88" s="15"/>
      <c r="F88" s="139" t="s">
        <v>173</v>
      </c>
      <c r="G88" s="139" t="s">
        <v>174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2:35" ht="12.75">
      <c r="B89" s="121"/>
      <c r="C89" s="121"/>
      <c r="D89" s="121"/>
      <c r="E89" s="15"/>
      <c r="F89" s="139" t="s">
        <v>175</v>
      </c>
      <c r="G89" s="139" t="s">
        <v>176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2:35" ht="12.75">
      <c r="B90" s="121"/>
      <c r="C90" s="121"/>
      <c r="D90" s="121"/>
      <c r="E90" s="15"/>
      <c r="F90" s="139" t="s">
        <v>177</v>
      </c>
      <c r="G90" s="139" t="s">
        <v>178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2:35" ht="12.75">
      <c r="B91" s="121"/>
      <c r="C91" s="121"/>
      <c r="D91" s="121"/>
      <c r="E91" s="15"/>
      <c r="F91" s="139" t="s">
        <v>74</v>
      </c>
      <c r="G91" s="139" t="s">
        <v>179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2:35" ht="12.75">
      <c r="B92" s="121"/>
      <c r="C92" s="121"/>
      <c r="D92" s="121"/>
      <c r="E92" s="15"/>
      <c r="F92" s="139" t="s">
        <v>180</v>
      </c>
      <c r="G92" s="139" t="s">
        <v>181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2:35" ht="12.75">
      <c r="B93" s="121"/>
      <c r="C93" s="121"/>
      <c r="D93" s="121"/>
      <c r="E93" s="15"/>
      <c r="F93" s="139" t="s">
        <v>182</v>
      </c>
      <c r="G93" s="139" t="s">
        <v>183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2:35" ht="12.75">
      <c r="B94" s="121"/>
      <c r="C94" s="121"/>
      <c r="D94" s="121"/>
      <c r="E94" s="15"/>
      <c r="F94" s="139" t="s">
        <v>184</v>
      </c>
      <c r="G94" s="139" t="s">
        <v>185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2:35" ht="12.75">
      <c r="B95" s="121"/>
      <c r="C95" s="121"/>
      <c r="D95" s="121"/>
      <c r="E95" s="15"/>
      <c r="F95" s="139" t="s">
        <v>186</v>
      </c>
      <c r="G95" s="139" t="s">
        <v>187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2:35" ht="12.75">
      <c r="B96" s="121"/>
      <c r="C96" s="121"/>
      <c r="D96" s="121"/>
      <c r="E96" s="15"/>
      <c r="F96" s="139" t="s">
        <v>188</v>
      </c>
      <c r="G96" s="139" t="s">
        <v>189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2:35" ht="12.75">
      <c r="B97" s="121"/>
      <c r="C97" s="121"/>
      <c r="D97" s="121"/>
      <c r="E97" s="15"/>
      <c r="F97" s="139" t="s">
        <v>190</v>
      </c>
      <c r="G97" s="139" t="s">
        <v>191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2:35" ht="12.75">
      <c r="B98" s="121"/>
      <c r="C98" s="121"/>
      <c r="D98" s="121"/>
      <c r="E98" s="15"/>
      <c r="F98" s="139" t="s">
        <v>192</v>
      </c>
      <c r="G98" s="139" t="s">
        <v>193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2:35" ht="12.75">
      <c r="B99" s="121"/>
      <c r="C99" s="121"/>
      <c r="D99" s="121"/>
      <c r="E99" s="15"/>
      <c r="F99" s="139" t="s">
        <v>194</v>
      </c>
      <c r="G99" s="139" t="s">
        <v>195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2:35" ht="12.75">
      <c r="B100" s="121"/>
      <c r="C100" s="121"/>
      <c r="D100" s="121"/>
      <c r="E100" s="15"/>
      <c r="F100" s="139" t="s">
        <v>196</v>
      </c>
      <c r="G100" s="139" t="s">
        <v>197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2:35" ht="12.75">
      <c r="B101" s="121"/>
      <c r="C101" s="121"/>
      <c r="D101" s="121"/>
      <c r="E101" s="15"/>
      <c r="F101" s="139" t="s">
        <v>198</v>
      </c>
      <c r="G101" s="139" t="s">
        <v>199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2:35" ht="12.75">
      <c r="B102" s="121"/>
      <c r="C102" s="121"/>
      <c r="D102" s="121"/>
      <c r="E102" s="15"/>
      <c r="F102" s="139" t="s">
        <v>200</v>
      </c>
      <c r="G102" s="139" t="s">
        <v>201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2:35" ht="12.75">
      <c r="B103" s="121"/>
      <c r="C103" s="121"/>
      <c r="D103" s="121"/>
      <c r="E103" s="15"/>
      <c r="F103" s="139" t="s">
        <v>75</v>
      </c>
      <c r="G103" s="139" t="s">
        <v>202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2:35" ht="12.75">
      <c r="B104" s="121"/>
      <c r="C104" s="121"/>
      <c r="D104" s="121"/>
      <c r="E104" s="139"/>
      <c r="F104" s="139" t="s">
        <v>104</v>
      </c>
      <c r="G104" s="139" t="s">
        <v>203</v>
      </c>
      <c r="H104" s="139"/>
      <c r="I104" s="139"/>
      <c r="J104" s="139"/>
      <c r="K104" s="140"/>
      <c r="L104" s="140"/>
      <c r="M104" s="141"/>
      <c r="N104" s="141"/>
      <c r="O104" s="141"/>
      <c r="P104" s="141"/>
      <c r="Q104" s="141"/>
      <c r="R104" s="141"/>
      <c r="S104" s="141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2:35" ht="12.75">
      <c r="B105" s="121"/>
      <c r="C105" s="121"/>
      <c r="D105" s="121"/>
      <c r="E105" s="139"/>
      <c r="F105" s="139" t="s">
        <v>204</v>
      </c>
      <c r="G105" s="139" t="s">
        <v>205</v>
      </c>
      <c r="H105" s="139"/>
      <c r="I105" s="139"/>
      <c r="J105" s="139"/>
      <c r="K105" s="140"/>
      <c r="L105" s="140"/>
      <c r="M105" s="141"/>
      <c r="N105" s="141"/>
      <c r="O105" s="141"/>
      <c r="P105" s="141"/>
      <c r="Q105" s="141"/>
      <c r="R105" s="141"/>
      <c r="S105" s="141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2:35" ht="12.75">
      <c r="B106" s="121"/>
      <c r="C106" s="121"/>
      <c r="D106" s="121"/>
      <c r="E106" s="139"/>
      <c r="F106" s="139" t="s">
        <v>206</v>
      </c>
      <c r="G106" s="139" t="s">
        <v>207</v>
      </c>
      <c r="H106" s="139"/>
      <c r="I106" s="139"/>
      <c r="J106" s="139"/>
      <c r="K106" s="140"/>
      <c r="L106" s="140"/>
      <c r="M106" s="141"/>
      <c r="N106" s="141"/>
      <c r="O106" s="141"/>
      <c r="P106" s="141"/>
      <c r="Q106" s="141"/>
      <c r="R106" s="141"/>
      <c r="S106" s="141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2:35" ht="12.75">
      <c r="B107" s="121"/>
      <c r="C107" s="121"/>
      <c r="D107" s="121"/>
      <c r="E107" s="139"/>
      <c r="F107" s="139" t="s">
        <v>208</v>
      </c>
      <c r="G107" s="139" t="s">
        <v>209</v>
      </c>
      <c r="H107" s="139"/>
      <c r="I107" s="139"/>
      <c r="J107" s="139"/>
      <c r="K107" s="140"/>
      <c r="L107" s="140"/>
      <c r="M107" s="141"/>
      <c r="N107" s="141"/>
      <c r="O107" s="141"/>
      <c r="P107" s="141"/>
      <c r="Q107" s="141"/>
      <c r="R107" s="141"/>
      <c r="S107" s="141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2:35" ht="12.75">
      <c r="B108" s="121"/>
      <c r="C108" s="121"/>
      <c r="D108" s="121"/>
      <c r="E108" s="139"/>
      <c r="F108" s="139" t="s">
        <v>210</v>
      </c>
      <c r="G108" s="139" t="s">
        <v>211</v>
      </c>
      <c r="H108" s="139"/>
      <c r="I108" s="139"/>
      <c r="J108" s="139"/>
      <c r="K108" s="140"/>
      <c r="L108" s="140"/>
      <c r="M108" s="141"/>
      <c r="N108" s="141"/>
      <c r="O108" s="141"/>
      <c r="P108" s="141"/>
      <c r="Q108" s="141"/>
      <c r="R108" s="141"/>
      <c r="S108" s="141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2:35" ht="12.75">
      <c r="B109" s="121"/>
      <c r="C109" s="121"/>
      <c r="D109" s="121"/>
      <c r="E109" s="139"/>
      <c r="F109" s="139" t="s">
        <v>212</v>
      </c>
      <c r="G109" s="139" t="s">
        <v>213</v>
      </c>
      <c r="H109" s="139"/>
      <c r="I109" s="139"/>
      <c r="J109" s="139"/>
      <c r="K109" s="140"/>
      <c r="L109" s="140"/>
      <c r="M109" s="141"/>
      <c r="N109" s="141"/>
      <c r="O109" s="141"/>
      <c r="P109" s="141"/>
      <c r="Q109" s="141"/>
      <c r="R109" s="141"/>
      <c r="S109" s="141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2:35" ht="12.75">
      <c r="B110" s="121"/>
      <c r="C110" s="121"/>
      <c r="D110" s="121"/>
      <c r="E110" s="139"/>
      <c r="F110" s="139" t="s">
        <v>214</v>
      </c>
      <c r="G110" s="139" t="s">
        <v>215</v>
      </c>
      <c r="H110" s="139"/>
      <c r="I110" s="139"/>
      <c r="J110" s="139"/>
      <c r="K110" s="140"/>
      <c r="L110" s="140"/>
      <c r="M110" s="141"/>
      <c r="N110" s="141"/>
      <c r="O110" s="141"/>
      <c r="P110" s="141"/>
      <c r="Q110" s="141"/>
      <c r="R110" s="141"/>
      <c r="S110" s="141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</sheetData>
  <mergeCells count="6">
    <mergeCell ref="L25:N25"/>
    <mergeCell ref="F26:G26"/>
    <mergeCell ref="B3:C3"/>
    <mergeCell ref="B4:C4"/>
    <mergeCell ref="F25:G25"/>
    <mergeCell ref="I25:K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Q53"/>
  <sheetViews>
    <sheetView workbookViewId="0" topLeftCell="A1">
      <selection activeCell="F12" sqref="F12"/>
    </sheetView>
  </sheetViews>
  <sheetFormatPr defaultColWidth="9.00390625" defaultRowHeight="12.75"/>
  <cols>
    <col min="2" max="2" width="10.625" style="0" bestFit="1" customWidth="1"/>
    <col min="3" max="8" width="14.75390625" style="0" bestFit="1" customWidth="1"/>
    <col min="9" max="9" width="6.375" style="0" customWidth="1"/>
    <col min="10" max="13" width="6.625" style="0" customWidth="1"/>
    <col min="14" max="16" width="5.625" style="0" customWidth="1"/>
    <col min="17" max="17" width="9.375" style="0" bestFit="1" customWidth="1"/>
    <col min="18" max="18" width="6.625" style="0" customWidth="1"/>
    <col min="19" max="19" width="6.125" style="0" customWidth="1"/>
    <col min="20" max="20" width="5.625" style="0" customWidth="1"/>
    <col min="21" max="35" width="7.125" style="0" customWidth="1"/>
    <col min="37" max="51" width="6.375" style="0" customWidth="1"/>
    <col min="53" max="54" width="6.625" style="0" customWidth="1"/>
    <col min="56" max="56" width="6.875" style="0" customWidth="1"/>
    <col min="57" max="57" width="12.625" style="0" bestFit="1" customWidth="1"/>
    <col min="59" max="59" width="18.00390625" style="0" bestFit="1" customWidth="1"/>
    <col min="60" max="62" width="9.625" style="0" bestFit="1" customWidth="1"/>
    <col min="64" max="64" width="8.625" style="0" customWidth="1"/>
    <col min="68" max="68" width="8.625" style="0" customWidth="1"/>
    <col min="69" max="69" width="7.25390625" style="0" customWidth="1"/>
  </cols>
  <sheetData>
    <row r="1" ht="13.5" thickBot="1"/>
    <row r="2" spans="2:69" ht="13.5" thickBot="1">
      <c r="B2" s="1" t="s">
        <v>0</v>
      </c>
      <c r="C2" s="2" t="s">
        <v>1</v>
      </c>
      <c r="D2" s="3"/>
      <c r="E2" s="3"/>
      <c r="F2" s="3"/>
      <c r="G2" s="3"/>
      <c r="H2" s="3"/>
      <c r="I2" s="4" t="s">
        <v>2</v>
      </c>
      <c r="J2" s="5"/>
      <c r="K2" s="5"/>
      <c r="L2" s="5"/>
      <c r="M2" s="5"/>
      <c r="N2" s="5"/>
      <c r="O2" s="5"/>
      <c r="P2" s="5"/>
      <c r="Q2" s="6"/>
      <c r="R2" s="7" t="s">
        <v>3</v>
      </c>
      <c r="S2" s="8"/>
      <c r="T2" s="8"/>
      <c r="U2" s="9"/>
      <c r="V2" s="10"/>
      <c r="W2" s="11"/>
      <c r="X2" s="7" t="s">
        <v>4</v>
      </c>
      <c r="Y2" s="8"/>
      <c r="Z2" s="8"/>
      <c r="AA2" s="7" t="s">
        <v>5</v>
      </c>
      <c r="AB2" s="8"/>
      <c r="AC2" s="8"/>
      <c r="AD2" s="7" t="s">
        <v>6</v>
      </c>
      <c r="AE2" s="8"/>
      <c r="AF2" s="8"/>
      <c r="AG2" s="7" t="s">
        <v>7</v>
      </c>
      <c r="AH2" s="8"/>
      <c r="AI2" s="12"/>
      <c r="AJ2" s="13"/>
      <c r="AK2" s="9"/>
      <c r="AL2" s="10"/>
      <c r="AM2" s="11"/>
      <c r="AN2" s="7" t="s">
        <v>4</v>
      </c>
      <c r="AO2" s="8"/>
      <c r="AP2" s="8"/>
      <c r="AQ2" s="7" t="s">
        <v>5</v>
      </c>
      <c r="AR2" s="8"/>
      <c r="AS2" s="8"/>
      <c r="AT2" s="7" t="s">
        <v>6</v>
      </c>
      <c r="AU2" s="8"/>
      <c r="AV2" s="8"/>
      <c r="AW2" s="7" t="s">
        <v>7</v>
      </c>
      <c r="AX2" s="8"/>
      <c r="AY2" s="12"/>
      <c r="AZ2" s="13"/>
      <c r="BA2" s="14" t="s">
        <v>8</v>
      </c>
      <c r="BB2" s="12"/>
      <c r="BC2" s="15"/>
      <c r="BD2" s="16" t="s">
        <v>9</v>
      </c>
      <c r="BE2" s="17"/>
      <c r="BF2" s="15"/>
      <c r="BG2" s="18" t="s">
        <v>10</v>
      </c>
      <c r="BH2" s="19" t="s">
        <v>11</v>
      </c>
      <c r="BI2" s="19"/>
      <c r="BJ2" s="19"/>
      <c r="BK2" s="19"/>
      <c r="BL2" s="19"/>
      <c r="BM2" s="19"/>
      <c r="BN2" s="19"/>
      <c r="BO2" s="19"/>
      <c r="BP2" s="19"/>
      <c r="BQ2" s="20" t="s">
        <v>12</v>
      </c>
    </row>
    <row r="3" spans="2:69" ht="13.5" thickBot="1">
      <c r="B3" s="21" t="s">
        <v>13</v>
      </c>
      <c r="C3" s="22" t="s">
        <v>14</v>
      </c>
      <c r="D3" s="23" t="s">
        <v>15</v>
      </c>
      <c r="E3" s="23" t="s">
        <v>16</v>
      </c>
      <c r="F3" s="24" t="s">
        <v>17</v>
      </c>
      <c r="G3" s="25" t="s">
        <v>18</v>
      </c>
      <c r="H3" s="23" t="s">
        <v>19</v>
      </c>
      <c r="I3" s="26" t="s">
        <v>20</v>
      </c>
      <c r="J3" s="27" t="s">
        <v>21</v>
      </c>
      <c r="K3" s="28" t="s">
        <v>22</v>
      </c>
      <c r="L3" s="27" t="s">
        <v>23</v>
      </c>
      <c r="M3" s="27" t="s">
        <v>24</v>
      </c>
      <c r="N3" s="27" t="s">
        <v>25</v>
      </c>
      <c r="O3" s="27" t="s">
        <v>26</v>
      </c>
      <c r="P3" s="27" t="s">
        <v>27</v>
      </c>
      <c r="Q3" s="27" t="s">
        <v>28</v>
      </c>
      <c r="R3" s="29" t="s">
        <v>29</v>
      </c>
      <c r="S3" s="27" t="s">
        <v>30</v>
      </c>
      <c r="T3" s="28" t="s">
        <v>31</v>
      </c>
      <c r="U3" s="30" t="s">
        <v>32</v>
      </c>
      <c r="V3" s="31" t="s">
        <v>33</v>
      </c>
      <c r="W3" s="28" t="s">
        <v>34</v>
      </c>
      <c r="X3" s="29" t="s">
        <v>35</v>
      </c>
      <c r="Y3" s="27" t="s">
        <v>36</v>
      </c>
      <c r="Z3" s="28" t="s">
        <v>37</v>
      </c>
      <c r="AA3" s="29" t="s">
        <v>35</v>
      </c>
      <c r="AB3" s="27" t="s">
        <v>36</v>
      </c>
      <c r="AC3" s="28" t="s">
        <v>37</v>
      </c>
      <c r="AD3" s="29" t="s">
        <v>35</v>
      </c>
      <c r="AE3" s="27" t="s">
        <v>36</v>
      </c>
      <c r="AF3" s="28" t="s">
        <v>37</v>
      </c>
      <c r="AG3" s="29" t="s">
        <v>35</v>
      </c>
      <c r="AH3" s="27" t="s">
        <v>36</v>
      </c>
      <c r="AI3" s="32" t="s">
        <v>37</v>
      </c>
      <c r="AJ3" s="13"/>
      <c r="AK3" s="30" t="s">
        <v>32</v>
      </c>
      <c r="AL3" s="31" t="s">
        <v>33</v>
      </c>
      <c r="AM3" s="28" t="s">
        <v>34</v>
      </c>
      <c r="AN3" s="29" t="s">
        <v>35</v>
      </c>
      <c r="AO3" s="27" t="s">
        <v>36</v>
      </c>
      <c r="AP3" s="28" t="s">
        <v>37</v>
      </c>
      <c r="AQ3" s="29" t="s">
        <v>35</v>
      </c>
      <c r="AR3" s="27" t="s">
        <v>36</v>
      </c>
      <c r="AS3" s="28" t="s">
        <v>37</v>
      </c>
      <c r="AT3" s="29" t="s">
        <v>35</v>
      </c>
      <c r="AU3" s="27" t="s">
        <v>36</v>
      </c>
      <c r="AV3" s="28" t="s">
        <v>37</v>
      </c>
      <c r="AW3" s="29" t="s">
        <v>35</v>
      </c>
      <c r="AX3" s="27" t="s">
        <v>36</v>
      </c>
      <c r="AY3" s="32" t="s">
        <v>37</v>
      </c>
      <c r="AZ3" s="13"/>
      <c r="BA3" s="33" t="s">
        <v>38</v>
      </c>
      <c r="BB3" s="34" t="s">
        <v>39</v>
      </c>
      <c r="BC3" s="35"/>
      <c r="BD3" s="36" t="s">
        <v>40</v>
      </c>
      <c r="BE3" s="37">
        <v>0.0002</v>
      </c>
      <c r="BF3" s="35"/>
      <c r="BG3" s="38" t="s">
        <v>41</v>
      </c>
      <c r="BH3" s="39">
        <v>2.04148</v>
      </c>
      <c r="BI3" s="39">
        <v>-0.969258</v>
      </c>
      <c r="BJ3" s="39">
        <v>0.0134455</v>
      </c>
      <c r="BK3" s="39">
        <v>-0.564977</v>
      </c>
      <c r="BL3" s="39">
        <v>1.87599</v>
      </c>
      <c r="BM3" s="39">
        <v>-0.118373</v>
      </c>
      <c r="BN3" s="39">
        <v>-0.344713</v>
      </c>
      <c r="BO3" s="39">
        <v>0.0415557</v>
      </c>
      <c r="BP3" s="39">
        <v>1.01527</v>
      </c>
      <c r="BQ3" s="40">
        <v>2.2</v>
      </c>
    </row>
    <row r="4" spans="2:69" ht="12.75">
      <c r="B4" s="41">
        <v>340</v>
      </c>
      <c r="C4" s="42">
        <v>0</v>
      </c>
      <c r="D4" s="43">
        <v>0</v>
      </c>
      <c r="E4" s="44">
        <v>0</v>
      </c>
      <c r="F4" s="45">
        <v>0</v>
      </c>
      <c r="G4" s="44">
        <v>0</v>
      </c>
      <c r="H4" s="43">
        <v>0</v>
      </c>
      <c r="I4" s="46">
        <v>3.593239778976573</v>
      </c>
      <c r="J4" s="47">
        <v>2.4</v>
      </c>
      <c r="K4" s="46">
        <v>2.7</v>
      </c>
      <c r="L4" s="48">
        <v>17.923592506196155</v>
      </c>
      <c r="M4" s="46">
        <v>100</v>
      </c>
      <c r="N4" s="49">
        <v>0</v>
      </c>
      <c r="O4" s="49">
        <v>0</v>
      </c>
      <c r="P4" s="46">
        <v>0</v>
      </c>
      <c r="Q4" s="47">
        <v>43.359586478134105</v>
      </c>
      <c r="R4" s="46">
        <v>57.3</v>
      </c>
      <c r="S4" s="47">
        <v>40.6</v>
      </c>
      <c r="T4" s="46">
        <v>7.8</v>
      </c>
      <c r="U4" s="50">
        <v>-10</v>
      </c>
      <c r="V4" s="51">
        <v>-10</v>
      </c>
      <c r="W4" s="52">
        <v>1</v>
      </c>
      <c r="X4" s="53">
        <v>-67.63200000000003</v>
      </c>
      <c r="Y4" s="54">
        <v>-33.55</v>
      </c>
      <c r="Z4" s="53">
        <v>-26.798000000000002</v>
      </c>
      <c r="AA4" s="52">
        <v>0</v>
      </c>
      <c r="AB4" s="53">
        <v>-10</v>
      </c>
      <c r="AC4" s="52">
        <v>-10</v>
      </c>
      <c r="AD4" s="53">
        <v>-70.69100000000002</v>
      </c>
      <c r="AE4" s="54">
        <v>-12.628000000000004</v>
      </c>
      <c r="AF4" s="53">
        <v>-15.397</v>
      </c>
      <c r="AG4" s="54">
        <v>-10</v>
      </c>
      <c r="AH4" s="53">
        <v>-10</v>
      </c>
      <c r="AI4" s="55">
        <v>-10</v>
      </c>
      <c r="AJ4" s="52"/>
      <c r="AK4" s="56">
        <v>1E-13</v>
      </c>
      <c r="AL4" s="49">
        <v>1E-13</v>
      </c>
      <c r="AM4" s="46">
        <v>0.01</v>
      </c>
      <c r="AN4" s="49">
        <v>2.3334580622807993E-71</v>
      </c>
      <c r="AO4" s="46">
        <v>2.8183829312644357E-37</v>
      </c>
      <c r="AP4" s="49">
        <v>1.59220872705115E-30</v>
      </c>
      <c r="AQ4" s="46">
        <v>0.001</v>
      </c>
      <c r="AR4" s="49">
        <v>1E-13</v>
      </c>
      <c r="AS4" s="46">
        <v>1E-13</v>
      </c>
      <c r="AT4" s="49">
        <v>2.037042077705594E-74</v>
      </c>
      <c r="AU4" s="46">
        <v>2.355049283895979E-16</v>
      </c>
      <c r="AV4" s="49">
        <v>4.008667176273014E-19</v>
      </c>
      <c r="AW4" s="46">
        <v>1E-13</v>
      </c>
      <c r="AX4" s="49">
        <v>1E-13</v>
      </c>
      <c r="AY4" s="57">
        <v>1E-13</v>
      </c>
      <c r="AZ4" s="46"/>
      <c r="BA4" s="58">
        <v>17.923592506196155</v>
      </c>
      <c r="BB4" s="59">
        <v>39.89553650971061</v>
      </c>
      <c r="BC4" s="35"/>
      <c r="BD4" s="36" t="s">
        <v>42</v>
      </c>
      <c r="BE4" s="37">
        <v>0.345741</v>
      </c>
      <c r="BF4" s="35"/>
      <c r="BG4" s="38" t="s">
        <v>43</v>
      </c>
      <c r="BH4" s="39">
        <v>2.95176</v>
      </c>
      <c r="BI4" s="39">
        <v>-1.0851</v>
      </c>
      <c r="BJ4" s="39">
        <v>0.0854804</v>
      </c>
      <c r="BK4" s="39">
        <v>-1.28951</v>
      </c>
      <c r="BL4" s="39">
        <v>1.99084</v>
      </c>
      <c r="BM4" s="39">
        <v>-0.269456</v>
      </c>
      <c r="BN4" s="39">
        <v>-0.47388</v>
      </c>
      <c r="BO4" s="39">
        <v>0.0372023</v>
      </c>
      <c r="BP4" s="39">
        <v>1.09113</v>
      </c>
      <c r="BQ4" s="40">
        <v>1.8</v>
      </c>
    </row>
    <row r="5" spans="2:69" ht="12.75">
      <c r="B5" s="41">
        <v>350</v>
      </c>
      <c r="C5" s="42">
        <v>0</v>
      </c>
      <c r="D5" s="43">
        <v>0</v>
      </c>
      <c r="E5" s="44">
        <v>0</v>
      </c>
      <c r="F5" s="43">
        <v>0</v>
      </c>
      <c r="G5" s="44">
        <v>0</v>
      </c>
      <c r="H5" s="43">
        <v>0</v>
      </c>
      <c r="I5" s="46">
        <v>4.7467417713279945</v>
      </c>
      <c r="J5" s="47">
        <v>5.6</v>
      </c>
      <c r="K5" s="46">
        <v>7</v>
      </c>
      <c r="L5" s="48">
        <v>20.979846897095964</v>
      </c>
      <c r="M5" s="46">
        <v>100</v>
      </c>
      <c r="N5" s="47">
        <v>0</v>
      </c>
      <c r="O5" s="47">
        <v>0</v>
      </c>
      <c r="P5" s="46">
        <v>0</v>
      </c>
      <c r="Q5" s="47">
        <v>47.773001361604436</v>
      </c>
      <c r="R5" s="46">
        <v>61.8</v>
      </c>
      <c r="S5" s="47">
        <v>41.6</v>
      </c>
      <c r="T5" s="46">
        <v>6.7</v>
      </c>
      <c r="U5" s="50">
        <v>-10</v>
      </c>
      <c r="V5" s="51">
        <v>-10</v>
      </c>
      <c r="W5" s="52">
        <v>2.708</v>
      </c>
      <c r="X5" s="53">
        <v>-64.93200000000003</v>
      </c>
      <c r="Y5" s="54">
        <v>-31.35</v>
      </c>
      <c r="Z5" s="53">
        <v>-22.998</v>
      </c>
      <c r="AA5" s="52">
        <v>0</v>
      </c>
      <c r="AB5" s="53">
        <v>-10</v>
      </c>
      <c r="AC5" s="52">
        <v>-10</v>
      </c>
      <c r="AD5" s="53">
        <v>-68.09100000000002</v>
      </c>
      <c r="AE5" s="54">
        <v>-11.568000000000003</v>
      </c>
      <c r="AF5" s="53">
        <v>-12.897</v>
      </c>
      <c r="AG5" s="54">
        <v>-10</v>
      </c>
      <c r="AH5" s="53">
        <v>-10</v>
      </c>
      <c r="AI5" s="55">
        <v>1</v>
      </c>
      <c r="AJ5" s="52"/>
      <c r="AK5" s="56">
        <v>1E-13</v>
      </c>
      <c r="AL5" s="47">
        <v>1E-13</v>
      </c>
      <c r="AM5" s="46">
        <v>0.5105049999754069</v>
      </c>
      <c r="AN5" s="47">
        <v>1.169499391019772E-68</v>
      </c>
      <c r="AO5" s="46">
        <v>4.466835921509636E-35</v>
      </c>
      <c r="AP5" s="47">
        <v>1.0046157902783888E-26</v>
      </c>
      <c r="AQ5" s="46">
        <v>0.001</v>
      </c>
      <c r="AR5" s="47">
        <v>1E-13</v>
      </c>
      <c r="AS5" s="46">
        <v>1E-13</v>
      </c>
      <c r="AT5" s="47">
        <v>8.109610578537944E-72</v>
      </c>
      <c r="AU5" s="46">
        <v>2.7039583641088197E-15</v>
      </c>
      <c r="AV5" s="47">
        <v>1.2676518658578423E-16</v>
      </c>
      <c r="AW5" s="46">
        <v>1E-13</v>
      </c>
      <c r="AX5" s="47">
        <v>1E-13</v>
      </c>
      <c r="AY5" s="57">
        <v>0.01</v>
      </c>
      <c r="AZ5" s="46"/>
      <c r="BA5" s="58">
        <v>20.979846897095964</v>
      </c>
      <c r="BB5" s="59">
        <v>44.85646071533879</v>
      </c>
      <c r="BC5" s="35"/>
      <c r="BD5" s="36" t="s">
        <v>44</v>
      </c>
      <c r="BE5" s="37">
        <v>0.3586661527570001</v>
      </c>
      <c r="BF5" s="35"/>
      <c r="BG5" s="38" t="s">
        <v>45</v>
      </c>
      <c r="BH5" s="39">
        <v>1.75526</v>
      </c>
      <c r="BI5" s="39">
        <v>-0.544134</v>
      </c>
      <c r="BJ5" s="39">
        <v>0.00634681</v>
      </c>
      <c r="BK5" s="39">
        <v>-0.483679</v>
      </c>
      <c r="BL5" s="39">
        <v>1.50688</v>
      </c>
      <c r="BM5" s="39">
        <v>-0.0175762</v>
      </c>
      <c r="BN5" s="39">
        <v>-0.253</v>
      </c>
      <c r="BO5" s="39">
        <v>0.0215528</v>
      </c>
      <c r="BP5" s="39">
        <v>1.2257</v>
      </c>
      <c r="BQ5" s="40">
        <v>2.2</v>
      </c>
    </row>
    <row r="6" spans="2:69" ht="12.75">
      <c r="B6" s="60">
        <v>360</v>
      </c>
      <c r="C6" s="61">
        <v>0.0001299</v>
      </c>
      <c r="D6" s="61">
        <v>3.917E-06</v>
      </c>
      <c r="E6" s="62">
        <v>0.0006061</v>
      </c>
      <c r="F6" s="61">
        <v>1.222E-07</v>
      </c>
      <c r="G6" s="62">
        <v>1.3398E-08</v>
      </c>
      <c r="H6" s="61">
        <v>5.35027E-07</v>
      </c>
      <c r="I6" s="46">
        <v>6.1498459798273215</v>
      </c>
      <c r="J6" s="48">
        <v>9.6</v>
      </c>
      <c r="K6" s="63">
        <v>12.9</v>
      </c>
      <c r="L6" s="48">
        <v>23.911555254874607</v>
      </c>
      <c r="M6" s="63">
        <v>100</v>
      </c>
      <c r="N6" s="47">
        <v>0</v>
      </c>
      <c r="O6" s="47">
        <v>0</v>
      </c>
      <c r="P6" s="46">
        <v>0</v>
      </c>
      <c r="Q6" s="47">
        <v>52.14633904116821</v>
      </c>
      <c r="R6" s="63">
        <v>61.5</v>
      </c>
      <c r="S6" s="48">
        <v>38</v>
      </c>
      <c r="T6" s="63">
        <v>5.3</v>
      </c>
      <c r="U6" s="50">
        <v>-10</v>
      </c>
      <c r="V6" s="53">
        <v>1</v>
      </c>
      <c r="W6" s="54">
        <v>4.28</v>
      </c>
      <c r="X6" s="53">
        <v>-62.23200000000003</v>
      </c>
      <c r="Y6" s="54">
        <v>-29.15</v>
      </c>
      <c r="Z6" s="53">
        <v>-19.198</v>
      </c>
      <c r="AA6" s="54">
        <v>0</v>
      </c>
      <c r="AB6" s="53">
        <v>-10</v>
      </c>
      <c r="AC6" s="54">
        <v>-10</v>
      </c>
      <c r="AD6" s="53">
        <v>-65.49100000000003</v>
      </c>
      <c r="AE6" s="54">
        <v>-10.508000000000003</v>
      </c>
      <c r="AF6" s="53">
        <v>-10.397</v>
      </c>
      <c r="AG6" s="54">
        <v>-10</v>
      </c>
      <c r="AH6" s="53">
        <v>-10</v>
      </c>
      <c r="AI6" s="64">
        <v>1.301</v>
      </c>
      <c r="AJ6" s="54"/>
      <c r="AK6" s="56">
        <v>1E-13</v>
      </c>
      <c r="AL6" s="47">
        <v>0.01</v>
      </c>
      <c r="AM6" s="46">
        <v>19.054607179632505</v>
      </c>
      <c r="AN6" s="47">
        <v>5.861381645139807E-66</v>
      </c>
      <c r="AO6" s="46">
        <v>7.079457843841439E-33</v>
      </c>
      <c r="AP6" s="47">
        <v>6.338697112569224E-23</v>
      </c>
      <c r="AQ6" s="46">
        <v>0.001</v>
      </c>
      <c r="AR6" s="47">
        <v>1E-13</v>
      </c>
      <c r="AS6" s="46">
        <v>1E-13</v>
      </c>
      <c r="AT6" s="47">
        <v>3.22849412171237E-69</v>
      </c>
      <c r="AU6" s="46">
        <v>3.10455958812833E-14</v>
      </c>
      <c r="AV6" s="47">
        <v>4.008667176273022E-14</v>
      </c>
      <c r="AW6" s="46">
        <v>1E-13</v>
      </c>
      <c r="AX6" s="47">
        <v>1E-13</v>
      </c>
      <c r="AY6" s="57">
        <v>0.019998618696327446</v>
      </c>
      <c r="AZ6" s="46"/>
      <c r="BA6" s="58">
        <v>23.911555254874607</v>
      </c>
      <c r="BB6" s="59">
        <v>46.58741962616263</v>
      </c>
      <c r="BC6" s="35"/>
      <c r="BD6" s="36" t="s">
        <v>46</v>
      </c>
      <c r="BE6" s="37">
        <v>-0.15058211192363805</v>
      </c>
      <c r="BF6" s="35"/>
      <c r="BG6" s="38" t="s">
        <v>47</v>
      </c>
      <c r="BH6" s="39">
        <v>1.68323</v>
      </c>
      <c r="BI6" s="39">
        <v>-0.771023</v>
      </c>
      <c r="BJ6" s="39">
        <v>0.0400012</v>
      </c>
      <c r="BK6" s="39">
        <v>-0.428236</v>
      </c>
      <c r="BL6" s="39">
        <v>1.70656</v>
      </c>
      <c r="BM6" s="39">
        <v>-0.0885376</v>
      </c>
      <c r="BN6" s="39">
        <v>-0.236018</v>
      </c>
      <c r="BO6" s="39">
        <v>0.0446899</v>
      </c>
      <c r="BP6" s="39">
        <v>1.27236</v>
      </c>
      <c r="BQ6" s="40">
        <v>2.2</v>
      </c>
    </row>
    <row r="7" spans="2:69" ht="12.75">
      <c r="B7" s="60">
        <v>370</v>
      </c>
      <c r="C7" s="61">
        <v>0.0004149</v>
      </c>
      <c r="D7" s="61">
        <v>1.239E-05</v>
      </c>
      <c r="E7" s="62">
        <v>0.001946</v>
      </c>
      <c r="F7" s="61">
        <v>5.9586E-06</v>
      </c>
      <c r="G7" s="62">
        <v>6.511E-07</v>
      </c>
      <c r="H7" s="61">
        <v>2.61437E-05</v>
      </c>
      <c r="I7" s="46">
        <v>7.82750035752819</v>
      </c>
      <c r="J7" s="48">
        <v>15.2</v>
      </c>
      <c r="K7" s="63">
        <v>21.4</v>
      </c>
      <c r="L7" s="48">
        <v>25.887218728378915</v>
      </c>
      <c r="M7" s="63">
        <v>100</v>
      </c>
      <c r="N7" s="47">
        <v>0</v>
      </c>
      <c r="O7" s="47">
        <v>0</v>
      </c>
      <c r="P7" s="46">
        <v>0</v>
      </c>
      <c r="Q7" s="47">
        <v>56.43979612069311</v>
      </c>
      <c r="R7" s="63">
        <v>68.8</v>
      </c>
      <c r="S7" s="48">
        <v>43.4</v>
      </c>
      <c r="T7" s="63">
        <v>6.1</v>
      </c>
      <c r="U7" s="50">
        <v>-10</v>
      </c>
      <c r="V7" s="53">
        <v>1.64</v>
      </c>
      <c r="W7" s="54">
        <v>4.583</v>
      </c>
      <c r="X7" s="53">
        <v>-59.532000000000025</v>
      </c>
      <c r="Y7" s="54">
        <v>-26.95</v>
      </c>
      <c r="Z7" s="53">
        <v>-15.398</v>
      </c>
      <c r="AA7" s="54">
        <v>0</v>
      </c>
      <c r="AB7" s="53">
        <v>-10</v>
      </c>
      <c r="AC7" s="54">
        <v>1</v>
      </c>
      <c r="AD7" s="53">
        <v>-62.89100000000003</v>
      </c>
      <c r="AE7" s="54">
        <v>-9.448000000000002</v>
      </c>
      <c r="AF7" s="53">
        <v>-7.897</v>
      </c>
      <c r="AG7" s="54">
        <v>-10</v>
      </c>
      <c r="AH7" s="53">
        <v>-10</v>
      </c>
      <c r="AI7" s="64">
        <v>2</v>
      </c>
      <c r="AJ7" s="54"/>
      <c r="AK7" s="56">
        <v>1E-13</v>
      </c>
      <c r="AL7" s="47">
        <v>0.04365158322401661</v>
      </c>
      <c r="AM7" s="46">
        <v>38.2824743316823</v>
      </c>
      <c r="AN7" s="47">
        <v>2.937649651961298E-63</v>
      </c>
      <c r="AO7" s="46">
        <v>1.1220184543019653E-30</v>
      </c>
      <c r="AP7" s="47">
        <v>3.999447497610972E-19</v>
      </c>
      <c r="AQ7" s="46">
        <v>0.001</v>
      </c>
      <c r="AR7" s="47">
        <v>1E-13</v>
      </c>
      <c r="AS7" s="46">
        <v>0.01</v>
      </c>
      <c r="AT7" s="47">
        <v>1.2852866599435146E-66</v>
      </c>
      <c r="AU7" s="46">
        <v>3.5645113342624147E-13</v>
      </c>
      <c r="AV7" s="47">
        <v>1.2676518658578448E-11</v>
      </c>
      <c r="AW7" s="46">
        <v>1E-13</v>
      </c>
      <c r="AX7" s="47">
        <v>1E-13</v>
      </c>
      <c r="AY7" s="57">
        <v>0.1</v>
      </c>
      <c r="AZ7" s="46"/>
      <c r="BA7" s="58">
        <v>25.887218728378915</v>
      </c>
      <c r="BB7" s="59">
        <v>51.73601332455578</v>
      </c>
      <c r="BC7" s="35"/>
      <c r="BD7" s="36" t="s">
        <v>48</v>
      </c>
      <c r="BE7" s="37">
        <v>-1.040321463861336</v>
      </c>
      <c r="BF7" s="35"/>
      <c r="BG7" s="38" t="s">
        <v>49</v>
      </c>
      <c r="BH7" s="39">
        <v>2.74566</v>
      </c>
      <c r="BI7" s="39">
        <v>-0.969257</v>
      </c>
      <c r="BJ7" s="39">
        <v>0.0112707</v>
      </c>
      <c r="BK7" s="39">
        <v>-1.13589</v>
      </c>
      <c r="BL7" s="39">
        <v>1.87599</v>
      </c>
      <c r="BM7" s="39">
        <v>-0.113959</v>
      </c>
      <c r="BN7" s="39">
        <v>-0.435057</v>
      </c>
      <c r="BO7" s="39">
        <v>0.0415557</v>
      </c>
      <c r="BP7" s="39">
        <v>1.01311</v>
      </c>
      <c r="BQ7" s="40">
        <v>2.2</v>
      </c>
    </row>
    <row r="8" spans="2:69" ht="13.5" thickBot="1">
      <c r="B8" s="60">
        <v>380</v>
      </c>
      <c r="C8" s="61">
        <v>0.001368</v>
      </c>
      <c r="D8" s="61">
        <v>3.9E-05</v>
      </c>
      <c r="E8" s="62">
        <v>0.006450001</v>
      </c>
      <c r="F8" s="61">
        <v>0.000159952</v>
      </c>
      <c r="G8" s="62">
        <v>1.7364E-05</v>
      </c>
      <c r="H8" s="61">
        <v>0.000704776</v>
      </c>
      <c r="I8" s="46">
        <v>9.802204944797378</v>
      </c>
      <c r="J8" s="48">
        <v>22.4</v>
      </c>
      <c r="K8" s="63">
        <v>33</v>
      </c>
      <c r="L8" s="48">
        <v>24.447871310171788</v>
      </c>
      <c r="M8" s="63">
        <v>100</v>
      </c>
      <c r="N8" s="48">
        <v>1.18</v>
      </c>
      <c r="O8" s="48">
        <v>2.56</v>
      </c>
      <c r="P8" s="63">
        <v>0.91</v>
      </c>
      <c r="Q8" s="47">
        <v>60.61802253647251</v>
      </c>
      <c r="R8" s="63">
        <v>63.4</v>
      </c>
      <c r="S8" s="48">
        <v>38.5</v>
      </c>
      <c r="T8" s="63">
        <v>3</v>
      </c>
      <c r="U8" s="50">
        <v>-10</v>
      </c>
      <c r="V8" s="53">
        <v>2.86</v>
      </c>
      <c r="W8" s="54">
        <v>4.76</v>
      </c>
      <c r="X8" s="53">
        <v>-56.83200000000002</v>
      </c>
      <c r="Y8" s="54">
        <v>-24.75</v>
      </c>
      <c r="Z8" s="53">
        <v>-11.597999999999999</v>
      </c>
      <c r="AA8" s="54">
        <v>0</v>
      </c>
      <c r="AB8" s="53">
        <v>-10</v>
      </c>
      <c r="AC8" s="54">
        <v>2.431</v>
      </c>
      <c r="AD8" s="53">
        <v>-60.291000000000025</v>
      </c>
      <c r="AE8" s="54">
        <v>-8.388000000000002</v>
      </c>
      <c r="AF8" s="53">
        <v>-5.397</v>
      </c>
      <c r="AG8" s="54">
        <v>-10</v>
      </c>
      <c r="AH8" s="53">
        <v>-10</v>
      </c>
      <c r="AI8" s="64">
        <v>2.477</v>
      </c>
      <c r="AJ8" s="54"/>
      <c r="AK8" s="56">
        <v>1E-13</v>
      </c>
      <c r="AL8" s="47">
        <v>0.7244359600749902</v>
      </c>
      <c r="AM8" s="46">
        <v>57.54399373371573</v>
      </c>
      <c r="AN8" s="47">
        <v>1.4723125024326058E-60</v>
      </c>
      <c r="AO8" s="46">
        <v>1.7782794100389263E-28</v>
      </c>
      <c r="AP8" s="47">
        <v>2.5234807724805707E-15</v>
      </c>
      <c r="AQ8" s="46">
        <v>0.001</v>
      </c>
      <c r="AR8" s="47">
        <v>1E-13</v>
      </c>
      <c r="AS8" s="46">
        <v>0.26977394324449216</v>
      </c>
      <c r="AT8" s="47">
        <v>5.116818355402694E-64</v>
      </c>
      <c r="AU8" s="46">
        <v>4.0926065973000796E-12</v>
      </c>
      <c r="AV8" s="47">
        <v>4.0086671762730234E-09</v>
      </c>
      <c r="AW8" s="46">
        <v>1E-13</v>
      </c>
      <c r="AX8" s="47">
        <v>1E-13</v>
      </c>
      <c r="AY8" s="57">
        <v>0.2999162518987651</v>
      </c>
      <c r="AZ8" s="46"/>
      <c r="BA8" s="58">
        <v>24.447871310171788</v>
      </c>
      <c r="BB8" s="59">
        <v>49.922732585207925</v>
      </c>
      <c r="BC8" s="15"/>
      <c r="BD8" s="65" t="s">
        <v>50</v>
      </c>
      <c r="BE8" s="66">
        <v>0.3667492229444103</v>
      </c>
      <c r="BF8" s="15"/>
      <c r="BG8" s="38" t="s">
        <v>51</v>
      </c>
      <c r="BH8" s="39">
        <v>2.37067</v>
      </c>
      <c r="BI8" s="39">
        <v>-0.513885</v>
      </c>
      <c r="BJ8" s="39">
        <v>0.00529818</v>
      </c>
      <c r="BK8" s="39">
        <v>-0.90004</v>
      </c>
      <c r="BL8" s="39">
        <v>1.4253</v>
      </c>
      <c r="BM8" s="39">
        <v>-0.0146949</v>
      </c>
      <c r="BN8" s="39">
        <v>-0.470634</v>
      </c>
      <c r="BO8" s="39">
        <v>0.0885814</v>
      </c>
      <c r="BP8" s="39">
        <v>1.0094</v>
      </c>
      <c r="BQ8" s="40">
        <v>2.2</v>
      </c>
    </row>
    <row r="9" spans="2:69" ht="13.5" thickBot="1">
      <c r="B9" s="67">
        <v>390</v>
      </c>
      <c r="C9" s="68">
        <v>0.004243</v>
      </c>
      <c r="D9" s="68">
        <v>0.00012</v>
      </c>
      <c r="E9" s="69">
        <v>0.02005001</v>
      </c>
      <c r="F9" s="68">
        <v>0.0023616</v>
      </c>
      <c r="G9" s="69">
        <v>0.0002534</v>
      </c>
      <c r="H9" s="68">
        <v>0.0104822</v>
      </c>
      <c r="I9" s="70">
        <v>12.093412306095258</v>
      </c>
      <c r="J9" s="71">
        <v>31.3</v>
      </c>
      <c r="K9" s="72">
        <v>47.4</v>
      </c>
      <c r="L9" s="71">
        <v>29.828847832386526</v>
      </c>
      <c r="M9" s="72">
        <v>100</v>
      </c>
      <c r="N9" s="71">
        <v>1.84</v>
      </c>
      <c r="O9" s="71">
        <v>3.84</v>
      </c>
      <c r="P9" s="72">
        <v>0.46</v>
      </c>
      <c r="Q9" s="73">
        <v>64.65033346435456</v>
      </c>
      <c r="R9" s="72">
        <v>65.8</v>
      </c>
      <c r="S9" s="71">
        <v>35</v>
      </c>
      <c r="T9" s="72">
        <v>1.2</v>
      </c>
      <c r="U9" s="74">
        <v>-10</v>
      </c>
      <c r="V9" s="75">
        <v>4.46</v>
      </c>
      <c r="W9" s="76">
        <v>4.851</v>
      </c>
      <c r="X9" s="75">
        <v>-54.13200000000002</v>
      </c>
      <c r="Y9" s="76">
        <v>-22.55</v>
      </c>
      <c r="Z9" s="75">
        <v>-7.798</v>
      </c>
      <c r="AA9" s="76">
        <v>0</v>
      </c>
      <c r="AB9" s="75">
        <v>-10</v>
      </c>
      <c r="AC9" s="76">
        <v>3.431</v>
      </c>
      <c r="AD9" s="75">
        <v>-57.691000000000024</v>
      </c>
      <c r="AE9" s="76">
        <v>-7.328000000000001</v>
      </c>
      <c r="AF9" s="75">
        <v>-2.897</v>
      </c>
      <c r="AG9" s="76">
        <v>-10</v>
      </c>
      <c r="AH9" s="75">
        <v>-10</v>
      </c>
      <c r="AI9" s="77">
        <v>3.176</v>
      </c>
      <c r="AJ9" s="54"/>
      <c r="AK9" s="78">
        <v>1E-13</v>
      </c>
      <c r="AL9" s="73">
        <v>28.840315031266062</v>
      </c>
      <c r="AM9" s="70">
        <v>70.95777679633892</v>
      </c>
      <c r="AN9" s="73">
        <v>7.379042301290568E-58</v>
      </c>
      <c r="AO9" s="70">
        <v>2.81838293126446E-26</v>
      </c>
      <c r="AP9" s="73">
        <v>1.5922087270511665E-11</v>
      </c>
      <c r="AQ9" s="70">
        <v>0.001</v>
      </c>
      <c r="AR9" s="73">
        <v>1E-13</v>
      </c>
      <c r="AS9" s="70">
        <v>2.6977394324449224</v>
      </c>
      <c r="AT9" s="73">
        <v>2.0370420777055728E-61</v>
      </c>
      <c r="AU9" s="70">
        <v>4.6989410860521387E-11</v>
      </c>
      <c r="AV9" s="73">
        <v>1.267651865857845E-06</v>
      </c>
      <c r="AW9" s="70">
        <v>1E-13</v>
      </c>
      <c r="AX9" s="73">
        <v>1E-13</v>
      </c>
      <c r="AY9" s="79">
        <v>1.4996848355023757</v>
      </c>
      <c r="AZ9" s="46"/>
      <c r="BA9" s="80">
        <v>29.828847832386526</v>
      </c>
      <c r="BB9" s="81">
        <v>54.59944491562717</v>
      </c>
      <c r="BC9" s="15"/>
      <c r="BD9" s="15"/>
      <c r="BE9" s="15"/>
      <c r="BF9" s="15"/>
      <c r="BG9" s="38" t="s">
        <v>52</v>
      </c>
      <c r="BH9" s="39">
        <v>2.64229</v>
      </c>
      <c r="BI9" s="39">
        <v>-1.11198</v>
      </c>
      <c r="BJ9" s="39">
        <v>0.0821698</v>
      </c>
      <c r="BK9" s="39">
        <v>-1.22343</v>
      </c>
      <c r="BL9" s="39">
        <v>2.05902</v>
      </c>
      <c r="BM9" s="39">
        <v>-0.280725</v>
      </c>
      <c r="BN9" s="39">
        <v>-0.393014</v>
      </c>
      <c r="BO9" s="39">
        <v>0.0159614</v>
      </c>
      <c r="BP9" s="39">
        <v>1.45599</v>
      </c>
      <c r="BQ9" s="40">
        <v>1.8</v>
      </c>
    </row>
    <row r="10" spans="2:69" ht="13.5" thickBot="1">
      <c r="B10" s="60">
        <v>400</v>
      </c>
      <c r="C10" s="61">
        <v>0.01431</v>
      </c>
      <c r="D10" s="61">
        <v>0.000396</v>
      </c>
      <c r="E10" s="62">
        <v>0.06785001</v>
      </c>
      <c r="F10" s="61">
        <v>0.0191097</v>
      </c>
      <c r="G10" s="62">
        <v>0.0020044</v>
      </c>
      <c r="H10" s="61">
        <v>0.0860109</v>
      </c>
      <c r="I10" s="46">
        <v>14.717047084402006</v>
      </c>
      <c r="J10" s="48">
        <v>41.3</v>
      </c>
      <c r="K10" s="63">
        <v>63.3</v>
      </c>
      <c r="L10" s="48">
        <v>49.24662432317916</v>
      </c>
      <c r="M10" s="63">
        <v>100</v>
      </c>
      <c r="N10" s="48">
        <v>3.44</v>
      </c>
      <c r="O10" s="48">
        <v>6.15</v>
      </c>
      <c r="P10" s="63">
        <v>1.29</v>
      </c>
      <c r="Q10" s="47">
        <v>68.51074398561163</v>
      </c>
      <c r="R10" s="63">
        <v>94.8</v>
      </c>
      <c r="S10" s="48">
        <v>43.4</v>
      </c>
      <c r="T10" s="63">
        <v>-1.1</v>
      </c>
      <c r="U10" s="82">
        <v>1</v>
      </c>
      <c r="V10" s="53">
        <v>5</v>
      </c>
      <c r="W10" s="54">
        <v>4.916</v>
      </c>
      <c r="X10" s="53">
        <v>-51.432000000000016</v>
      </c>
      <c r="Y10" s="54">
        <v>-20.35</v>
      </c>
      <c r="Z10" s="53">
        <v>-3.9979999999999998</v>
      </c>
      <c r="AA10" s="54">
        <v>0</v>
      </c>
      <c r="AB10" s="53">
        <v>-10</v>
      </c>
      <c r="AC10" s="54">
        <v>4.114</v>
      </c>
      <c r="AD10" s="53">
        <v>-55.09100000000002</v>
      </c>
      <c r="AE10" s="54">
        <v>-6.268000000000001</v>
      </c>
      <c r="AF10" s="53">
        <v>-0.3969999999999998</v>
      </c>
      <c r="AG10" s="54">
        <v>-10</v>
      </c>
      <c r="AH10" s="53">
        <v>-10</v>
      </c>
      <c r="AI10" s="64">
        <v>3.778</v>
      </c>
      <c r="AJ10" s="54"/>
      <c r="AK10" s="56">
        <v>0.01</v>
      </c>
      <c r="AL10" s="47">
        <v>100</v>
      </c>
      <c r="AM10" s="46">
        <v>82.41381150130037</v>
      </c>
      <c r="AN10" s="47">
        <v>3.6982817978025025E-55</v>
      </c>
      <c r="AO10" s="46">
        <v>4.466835921509643E-24</v>
      </c>
      <c r="AP10" s="47">
        <v>1.0046157902783958E-07</v>
      </c>
      <c r="AQ10" s="46">
        <v>0.001</v>
      </c>
      <c r="AR10" s="47">
        <v>1E-13</v>
      </c>
      <c r="AS10" s="46">
        <v>13.001695780332913</v>
      </c>
      <c r="AT10" s="47">
        <v>8.109610578537858E-59</v>
      </c>
      <c r="AU10" s="46">
        <v>5.395106225151262E-10</v>
      </c>
      <c r="AV10" s="47">
        <v>0.00040086671762730295</v>
      </c>
      <c r="AW10" s="46">
        <v>1E-13</v>
      </c>
      <c r="AX10" s="47">
        <v>1E-13</v>
      </c>
      <c r="AY10" s="57">
        <v>5.997910762555104</v>
      </c>
      <c r="AZ10" s="46"/>
      <c r="BA10" s="58">
        <v>49.24662432317916</v>
      </c>
      <c r="BB10" s="59">
        <v>82.69311399019276</v>
      </c>
      <c r="BC10" s="15"/>
      <c r="BD10" s="16" t="s">
        <v>28</v>
      </c>
      <c r="BE10" s="17"/>
      <c r="BF10" s="15"/>
      <c r="BG10" s="38" t="s">
        <v>53</v>
      </c>
      <c r="BH10" s="39">
        <v>1.76039</v>
      </c>
      <c r="BI10" s="39">
        <v>-0.712629</v>
      </c>
      <c r="BJ10" s="39">
        <v>0.00782072</v>
      </c>
      <c r="BK10" s="39">
        <v>-0.48812</v>
      </c>
      <c r="BL10" s="39">
        <v>1.65274</v>
      </c>
      <c r="BM10" s="39">
        <v>-0.0347411</v>
      </c>
      <c r="BN10" s="39">
        <v>-0.253613</v>
      </c>
      <c r="BO10" s="39">
        <v>0.0416715</v>
      </c>
      <c r="BP10" s="39">
        <v>1.24477</v>
      </c>
      <c r="BQ10" s="40">
        <v>2.2</v>
      </c>
    </row>
    <row r="11" spans="2:69" ht="12.75">
      <c r="B11" s="60">
        <v>410</v>
      </c>
      <c r="C11" s="61">
        <v>0.04351</v>
      </c>
      <c r="D11" s="61">
        <v>0.00121</v>
      </c>
      <c r="E11" s="62">
        <v>0.2074</v>
      </c>
      <c r="F11" s="61">
        <v>0.084736</v>
      </c>
      <c r="G11" s="62">
        <v>0.008756</v>
      </c>
      <c r="H11" s="61">
        <v>0.389366</v>
      </c>
      <c r="I11" s="46">
        <v>17.685153530605433</v>
      </c>
      <c r="J11" s="48">
        <v>52.1</v>
      </c>
      <c r="K11" s="63">
        <v>80.6</v>
      </c>
      <c r="L11" s="48">
        <v>56.44974161174794</v>
      </c>
      <c r="M11" s="63">
        <v>100</v>
      </c>
      <c r="N11" s="48">
        <v>3.85</v>
      </c>
      <c r="O11" s="48">
        <v>7.37</v>
      </c>
      <c r="P11" s="63">
        <v>1.59</v>
      </c>
      <c r="Q11" s="47">
        <v>72.17786404973178</v>
      </c>
      <c r="R11" s="63">
        <v>104.8</v>
      </c>
      <c r="S11" s="48">
        <v>46.3</v>
      </c>
      <c r="T11" s="63">
        <v>-0.5</v>
      </c>
      <c r="U11" s="82">
        <v>1.322</v>
      </c>
      <c r="V11" s="53">
        <v>4.46</v>
      </c>
      <c r="W11" s="54">
        <v>4.956</v>
      </c>
      <c r="X11" s="53">
        <v>-48.73200000000001</v>
      </c>
      <c r="Y11" s="54">
        <v>-18.15</v>
      </c>
      <c r="Z11" s="53">
        <v>-0.19799999999999995</v>
      </c>
      <c r="AA11" s="54">
        <v>0</v>
      </c>
      <c r="AB11" s="53">
        <v>-10</v>
      </c>
      <c r="AC11" s="54">
        <v>4.477</v>
      </c>
      <c r="AD11" s="53">
        <v>-52.49100000000002</v>
      </c>
      <c r="AE11" s="54">
        <v>-5.208</v>
      </c>
      <c r="AF11" s="53">
        <v>2.103</v>
      </c>
      <c r="AG11" s="54">
        <v>-10</v>
      </c>
      <c r="AH11" s="53">
        <v>-10</v>
      </c>
      <c r="AI11" s="64">
        <v>4.23</v>
      </c>
      <c r="AJ11" s="54"/>
      <c r="AK11" s="56">
        <v>0.02098939883623525</v>
      </c>
      <c r="AL11" s="47">
        <v>28.840315031266062</v>
      </c>
      <c r="AM11" s="46">
        <v>90.36494737223026</v>
      </c>
      <c r="AN11" s="47">
        <v>1.8535316234147365E-52</v>
      </c>
      <c r="AO11" s="46">
        <v>7.0794578438414E-22</v>
      </c>
      <c r="AP11" s="47">
        <v>0.0006338697112569271</v>
      </c>
      <c r="AQ11" s="46">
        <v>0.001</v>
      </c>
      <c r="AR11" s="47">
        <v>1E-13</v>
      </c>
      <c r="AS11" s="46">
        <v>29.991625189876547</v>
      </c>
      <c r="AT11" s="47">
        <v>3.2284941217124284E-56</v>
      </c>
      <c r="AU11" s="46">
        <v>6.194410750767801E-09</v>
      </c>
      <c r="AV11" s="47">
        <v>0.12676518658578464</v>
      </c>
      <c r="AW11" s="46">
        <v>1E-13</v>
      </c>
      <c r="AX11" s="47">
        <v>1E-13</v>
      </c>
      <c r="AY11" s="57">
        <v>16.982436524617484</v>
      </c>
      <c r="AZ11" s="46"/>
      <c r="BA11" s="58">
        <v>56.44974161174794</v>
      </c>
      <c r="BB11" s="59">
        <v>91.42043147501948</v>
      </c>
      <c r="BC11" s="15"/>
      <c r="BD11" s="36" t="s">
        <v>54</v>
      </c>
      <c r="BE11" s="37">
        <v>2.71828182845904</v>
      </c>
      <c r="BF11" s="15"/>
      <c r="BG11" s="38" t="s">
        <v>55</v>
      </c>
      <c r="BH11" s="39">
        <v>1.78276</v>
      </c>
      <c r="BI11" s="39">
        <v>-0.959362</v>
      </c>
      <c r="BJ11" s="39">
        <v>0.0859318</v>
      </c>
      <c r="BK11" s="39">
        <v>-0.496985</v>
      </c>
      <c r="BL11" s="39">
        <v>1.9478</v>
      </c>
      <c r="BM11" s="39">
        <v>-0.174467</v>
      </c>
      <c r="BN11" s="39">
        <v>-0.26901</v>
      </c>
      <c r="BO11" s="39">
        <v>-0.0275807</v>
      </c>
      <c r="BP11" s="39">
        <v>1.32283</v>
      </c>
      <c r="BQ11" s="40">
        <v>1.8</v>
      </c>
    </row>
    <row r="12" spans="2:69" ht="12.75">
      <c r="B12" s="60">
        <v>420</v>
      </c>
      <c r="C12" s="61">
        <v>0.13438</v>
      </c>
      <c r="D12" s="61">
        <v>0.004</v>
      </c>
      <c r="E12" s="62">
        <v>0.6456</v>
      </c>
      <c r="F12" s="61">
        <v>0.204492</v>
      </c>
      <c r="G12" s="62">
        <v>0.021391</v>
      </c>
      <c r="H12" s="61">
        <v>0.972542</v>
      </c>
      <c r="I12" s="46">
        <v>21.00567234746717</v>
      </c>
      <c r="J12" s="48">
        <v>63.2</v>
      </c>
      <c r="K12" s="63">
        <v>98.1</v>
      </c>
      <c r="L12" s="48">
        <v>59.97316328042627</v>
      </c>
      <c r="M12" s="63">
        <v>100</v>
      </c>
      <c r="N12" s="48">
        <v>4.19</v>
      </c>
      <c r="O12" s="48">
        <v>7.71</v>
      </c>
      <c r="P12" s="63">
        <v>2.46</v>
      </c>
      <c r="Q12" s="47">
        <v>75.6346880163644</v>
      </c>
      <c r="R12" s="63">
        <v>105.9</v>
      </c>
      <c r="S12" s="48">
        <v>43.9</v>
      </c>
      <c r="T12" s="63">
        <v>-0.7</v>
      </c>
      <c r="U12" s="82">
        <v>1.914</v>
      </c>
      <c r="V12" s="53">
        <v>2.86</v>
      </c>
      <c r="W12" s="54">
        <v>4.988</v>
      </c>
      <c r="X12" s="53">
        <v>-46.03200000000001</v>
      </c>
      <c r="Y12" s="54">
        <v>-15.95</v>
      </c>
      <c r="Z12" s="53">
        <v>3.602</v>
      </c>
      <c r="AA12" s="54">
        <v>0</v>
      </c>
      <c r="AB12" s="53">
        <v>-10</v>
      </c>
      <c r="AC12" s="54">
        <v>4.778</v>
      </c>
      <c r="AD12" s="53">
        <v>-49.89100000000002</v>
      </c>
      <c r="AE12" s="54">
        <v>-4.148000000000001</v>
      </c>
      <c r="AF12" s="53">
        <v>4.111</v>
      </c>
      <c r="AG12" s="54">
        <v>-10</v>
      </c>
      <c r="AH12" s="53">
        <v>-10</v>
      </c>
      <c r="AI12" s="64">
        <v>4.602</v>
      </c>
      <c r="AJ12" s="54"/>
      <c r="AK12" s="56">
        <v>0.08203515443298187</v>
      </c>
      <c r="AL12" s="47">
        <v>0.7244359600749902</v>
      </c>
      <c r="AM12" s="46">
        <v>97.27472237769675</v>
      </c>
      <c r="AN12" s="47">
        <v>9.289663867799014E-50</v>
      </c>
      <c r="AO12" s="46">
        <v>1.122018454301959E-19</v>
      </c>
      <c r="AP12" s="47">
        <v>3.9994474976109777</v>
      </c>
      <c r="AQ12" s="46">
        <v>0.001</v>
      </c>
      <c r="AR12" s="47">
        <v>1E-13</v>
      </c>
      <c r="AS12" s="46">
        <v>59.979107625550995</v>
      </c>
      <c r="AT12" s="47">
        <v>1.2852866599435374E-53</v>
      </c>
      <c r="AU12" s="46">
        <v>7.112135136533278E-08</v>
      </c>
      <c r="AV12" s="47">
        <v>12.912192736135347</v>
      </c>
      <c r="AW12" s="46">
        <v>1E-13</v>
      </c>
      <c r="AX12" s="47">
        <v>1E-13</v>
      </c>
      <c r="AY12" s="57">
        <v>39.99447497610982</v>
      </c>
      <c r="AZ12" s="46"/>
      <c r="BA12" s="58">
        <v>59.97316328042627</v>
      </c>
      <c r="BB12" s="59">
        <v>93.36951419962419</v>
      </c>
      <c r="BC12" s="15"/>
      <c r="BD12" s="36" t="s">
        <v>56</v>
      </c>
      <c r="BE12" s="83">
        <v>3.741832E-16</v>
      </c>
      <c r="BF12" s="15"/>
      <c r="BG12" s="38" t="s">
        <v>57</v>
      </c>
      <c r="BH12" s="39">
        <v>2.00438</v>
      </c>
      <c r="BI12" s="39">
        <v>-0.711029</v>
      </c>
      <c r="BJ12" s="39">
        <v>0.0381263</v>
      </c>
      <c r="BK12" s="39">
        <v>-0.730484</v>
      </c>
      <c r="BL12" s="39">
        <v>1.62021</v>
      </c>
      <c r="BM12" s="39">
        <v>-0.086878</v>
      </c>
      <c r="BN12" s="39">
        <v>-0.245005</v>
      </c>
      <c r="BO12" s="39">
        <v>0.0792227</v>
      </c>
      <c r="BP12" s="39">
        <v>1.27254</v>
      </c>
      <c r="BQ12" s="40">
        <v>2.2</v>
      </c>
    </row>
    <row r="13" spans="2:69" ht="12.75">
      <c r="B13" s="60">
        <v>430</v>
      </c>
      <c r="C13" s="61">
        <v>0.2839</v>
      </c>
      <c r="D13" s="61">
        <v>0.0116</v>
      </c>
      <c r="E13" s="62">
        <v>1.3856</v>
      </c>
      <c r="F13" s="61">
        <v>0.314679</v>
      </c>
      <c r="G13" s="62">
        <v>0.038676</v>
      </c>
      <c r="H13" s="61">
        <v>1.55348</v>
      </c>
      <c r="I13" s="46">
        <v>24.682341968445268</v>
      </c>
      <c r="J13" s="48">
        <v>73.1</v>
      </c>
      <c r="K13" s="63">
        <v>112.4</v>
      </c>
      <c r="L13" s="48">
        <v>57.76397462321114</v>
      </c>
      <c r="M13" s="63">
        <v>100</v>
      </c>
      <c r="N13" s="48">
        <v>5.06</v>
      </c>
      <c r="O13" s="48">
        <v>9.15</v>
      </c>
      <c r="P13" s="63">
        <v>4.49</v>
      </c>
      <c r="Q13" s="47">
        <v>78.86830889026535</v>
      </c>
      <c r="R13" s="63">
        <v>96.8</v>
      </c>
      <c r="S13" s="48">
        <v>37.1</v>
      </c>
      <c r="T13" s="63">
        <v>-1.2</v>
      </c>
      <c r="U13" s="82">
        <v>2.447</v>
      </c>
      <c r="V13" s="53">
        <v>1.64</v>
      </c>
      <c r="W13" s="54">
        <v>5</v>
      </c>
      <c r="X13" s="53">
        <v>-43.33200000000001</v>
      </c>
      <c r="Y13" s="54">
        <v>-13.75</v>
      </c>
      <c r="Z13" s="53">
        <v>4.819</v>
      </c>
      <c r="AA13" s="54">
        <v>0</v>
      </c>
      <c r="AB13" s="53">
        <v>-10</v>
      </c>
      <c r="AC13" s="54">
        <v>4.914</v>
      </c>
      <c r="AD13" s="53">
        <v>-47.29100000000002</v>
      </c>
      <c r="AE13" s="54">
        <v>-3.0880000000000005</v>
      </c>
      <c r="AF13" s="53">
        <v>4.632</v>
      </c>
      <c r="AG13" s="54">
        <v>-10</v>
      </c>
      <c r="AH13" s="53">
        <v>-10</v>
      </c>
      <c r="AI13" s="64">
        <v>4.778</v>
      </c>
      <c r="AJ13" s="54"/>
      <c r="AK13" s="56">
        <v>0.2798981319634364</v>
      </c>
      <c r="AL13" s="47">
        <v>0.04365158322401661</v>
      </c>
      <c r="AM13" s="46">
        <v>100</v>
      </c>
      <c r="AN13" s="47">
        <v>4.6558609352294925E-47</v>
      </c>
      <c r="AO13" s="46">
        <v>1.778279410038916E-17</v>
      </c>
      <c r="AP13" s="47">
        <v>65.91738952443222</v>
      </c>
      <c r="AQ13" s="46">
        <v>0.001</v>
      </c>
      <c r="AR13" s="47">
        <v>1E-13</v>
      </c>
      <c r="AS13" s="46">
        <v>82.03515443298184</v>
      </c>
      <c r="AT13" s="47">
        <v>5.116818355402786E-51</v>
      </c>
      <c r="AU13" s="46">
        <v>8.165823713585907E-07</v>
      </c>
      <c r="AV13" s="47">
        <v>42.85485203974394</v>
      </c>
      <c r="AW13" s="46">
        <v>1E-13</v>
      </c>
      <c r="AX13" s="47">
        <v>1E-13</v>
      </c>
      <c r="AY13" s="57">
        <v>59.979107625550995</v>
      </c>
      <c r="AZ13" s="46"/>
      <c r="BA13" s="58">
        <v>57.76397462321114</v>
      </c>
      <c r="BB13" s="59">
        <v>86.62934950576683</v>
      </c>
      <c r="BC13" s="15"/>
      <c r="BD13" s="36" t="s">
        <v>58</v>
      </c>
      <c r="BE13" s="83">
        <v>0.01438786</v>
      </c>
      <c r="BF13" s="15"/>
      <c r="BG13" s="38" t="s">
        <v>59</v>
      </c>
      <c r="BH13" s="39">
        <v>1.91049</v>
      </c>
      <c r="BI13" s="39">
        <v>-0.98431</v>
      </c>
      <c r="BJ13" s="39">
        <v>0.0583744</v>
      </c>
      <c r="BK13" s="39">
        <v>-0.532592</v>
      </c>
      <c r="BL13" s="39">
        <v>1.99845</v>
      </c>
      <c r="BM13" s="39">
        <v>-0.118518</v>
      </c>
      <c r="BN13" s="39">
        <v>-0.288284</v>
      </c>
      <c r="BO13" s="39">
        <v>-0.028298</v>
      </c>
      <c r="BP13" s="39">
        <v>0.898611</v>
      </c>
      <c r="BQ13" s="40">
        <v>2.2</v>
      </c>
    </row>
    <row r="14" spans="2:69" ht="13.5" thickBot="1">
      <c r="B14" s="60">
        <v>440</v>
      </c>
      <c r="C14" s="61">
        <v>0.34828</v>
      </c>
      <c r="D14" s="61">
        <v>0.023</v>
      </c>
      <c r="E14" s="62">
        <v>1.74706</v>
      </c>
      <c r="F14" s="61">
        <v>0.383734</v>
      </c>
      <c r="G14" s="62">
        <v>0.062077</v>
      </c>
      <c r="H14" s="61">
        <v>1.96728</v>
      </c>
      <c r="I14" s="46">
        <v>28.714714597903228</v>
      </c>
      <c r="J14" s="48">
        <v>80.8</v>
      </c>
      <c r="K14" s="63">
        <v>121.5</v>
      </c>
      <c r="L14" s="48">
        <v>74.7666542966335</v>
      </c>
      <c r="M14" s="63">
        <v>100</v>
      </c>
      <c r="N14" s="48">
        <v>11.81</v>
      </c>
      <c r="O14" s="48">
        <v>17.52</v>
      </c>
      <c r="P14" s="63">
        <v>12.13</v>
      </c>
      <c r="Q14" s="47">
        <v>81.86958284538234</v>
      </c>
      <c r="R14" s="63">
        <v>113.9</v>
      </c>
      <c r="S14" s="48">
        <v>36.7</v>
      </c>
      <c r="T14" s="63">
        <v>-2.6</v>
      </c>
      <c r="U14" s="82">
        <v>2.811</v>
      </c>
      <c r="V14" s="53">
        <v>1</v>
      </c>
      <c r="W14" s="54">
        <v>4.99</v>
      </c>
      <c r="X14" s="53">
        <v>-40.632000000000005</v>
      </c>
      <c r="Y14" s="54">
        <v>-11.55</v>
      </c>
      <c r="Z14" s="53">
        <v>5</v>
      </c>
      <c r="AA14" s="54">
        <v>0</v>
      </c>
      <c r="AB14" s="53">
        <v>-10</v>
      </c>
      <c r="AC14" s="54">
        <v>5</v>
      </c>
      <c r="AD14" s="53">
        <v>-44.69100000000002</v>
      </c>
      <c r="AE14" s="54">
        <v>-2.0280000000000005</v>
      </c>
      <c r="AF14" s="53">
        <v>4.871</v>
      </c>
      <c r="AG14" s="54">
        <v>-10</v>
      </c>
      <c r="AH14" s="53">
        <v>-10</v>
      </c>
      <c r="AI14" s="64">
        <v>4.914</v>
      </c>
      <c r="AJ14" s="54"/>
      <c r="AK14" s="56">
        <v>0.6471426157485834</v>
      </c>
      <c r="AL14" s="47">
        <v>0.01</v>
      </c>
      <c r="AM14" s="46">
        <v>97.72372209558127</v>
      </c>
      <c r="AN14" s="47">
        <v>2.33345806228096E-44</v>
      </c>
      <c r="AO14" s="46">
        <v>2.8183829312644444E-15</v>
      </c>
      <c r="AP14" s="47">
        <v>100</v>
      </c>
      <c r="AQ14" s="46">
        <v>0.001</v>
      </c>
      <c r="AR14" s="47">
        <v>1E-13</v>
      </c>
      <c r="AS14" s="46">
        <v>100</v>
      </c>
      <c r="AT14" s="47">
        <v>2.0370420777056093E-48</v>
      </c>
      <c r="AU14" s="46">
        <v>9.37562006925879E-06</v>
      </c>
      <c r="AV14" s="47">
        <v>74.30191378967031</v>
      </c>
      <c r="AW14" s="46">
        <v>1E-13</v>
      </c>
      <c r="AX14" s="47">
        <v>1E-13</v>
      </c>
      <c r="AY14" s="57">
        <v>82.03515443298184</v>
      </c>
      <c r="AZ14" s="46"/>
      <c r="BA14" s="58">
        <v>74.7666542966335</v>
      </c>
      <c r="BB14" s="59">
        <v>104.81179443806724</v>
      </c>
      <c r="BC14" s="15"/>
      <c r="BD14" s="65" t="s">
        <v>60</v>
      </c>
      <c r="BE14" s="84">
        <v>40092937497550.68</v>
      </c>
      <c r="BF14" s="15"/>
      <c r="BG14" s="38" t="s">
        <v>61</v>
      </c>
      <c r="BH14" s="39">
        <v>3.06313</v>
      </c>
      <c r="BI14" s="39">
        <v>-0.969258</v>
      </c>
      <c r="BJ14" s="39">
        <v>0.0678674</v>
      </c>
      <c r="BK14" s="39">
        <v>-1.39328</v>
      </c>
      <c r="BL14" s="39">
        <v>1.87599</v>
      </c>
      <c r="BM14" s="39">
        <v>-0.228821</v>
      </c>
      <c r="BN14" s="39">
        <v>-0.475788</v>
      </c>
      <c r="BO14" s="39">
        <v>0.0415557</v>
      </c>
      <c r="BP14" s="39">
        <v>1.06919</v>
      </c>
      <c r="BQ14" s="40">
        <v>2.2</v>
      </c>
    </row>
    <row r="15" spans="2:69" ht="13.5" thickBot="1">
      <c r="B15" s="60">
        <v>450</v>
      </c>
      <c r="C15" s="61">
        <v>0.3362</v>
      </c>
      <c r="D15" s="61">
        <v>0.038</v>
      </c>
      <c r="E15" s="62">
        <v>1.77211</v>
      </c>
      <c r="F15" s="61">
        <v>0.370702</v>
      </c>
      <c r="G15" s="62">
        <v>0.089456</v>
      </c>
      <c r="H15" s="61">
        <v>1.9948</v>
      </c>
      <c r="I15" s="46">
        <v>33.098273955464286</v>
      </c>
      <c r="J15" s="48">
        <v>85.4</v>
      </c>
      <c r="K15" s="63">
        <v>124</v>
      </c>
      <c r="L15" s="48">
        <v>87.18888670083923</v>
      </c>
      <c r="M15" s="63">
        <v>100</v>
      </c>
      <c r="N15" s="48">
        <v>6.63</v>
      </c>
      <c r="O15" s="48">
        <v>12</v>
      </c>
      <c r="P15" s="63">
        <v>7.19</v>
      </c>
      <c r="Q15" s="47">
        <v>84.63276515313679</v>
      </c>
      <c r="R15" s="63">
        <v>125.6</v>
      </c>
      <c r="S15" s="48">
        <v>35.9</v>
      </c>
      <c r="T15" s="63">
        <v>-2.9</v>
      </c>
      <c r="U15" s="82">
        <v>3.09</v>
      </c>
      <c r="V15" s="53">
        <v>-10</v>
      </c>
      <c r="W15" s="54">
        <v>4.951</v>
      </c>
      <c r="X15" s="53">
        <v>-37.932</v>
      </c>
      <c r="Y15" s="54">
        <v>-9.35</v>
      </c>
      <c r="Z15" s="53">
        <v>4.912</v>
      </c>
      <c r="AA15" s="54">
        <v>0</v>
      </c>
      <c r="AB15" s="53">
        <v>-10</v>
      </c>
      <c r="AC15" s="54">
        <v>4.959</v>
      </c>
      <c r="AD15" s="53">
        <v>-42.091000000000015</v>
      </c>
      <c r="AE15" s="54">
        <v>-0.9680000000000002</v>
      </c>
      <c r="AF15" s="53">
        <v>5</v>
      </c>
      <c r="AG15" s="54">
        <v>-10</v>
      </c>
      <c r="AH15" s="53">
        <v>-10</v>
      </c>
      <c r="AI15" s="64">
        <v>4.973</v>
      </c>
      <c r="AJ15" s="54"/>
      <c r="AK15" s="56">
        <v>1.2302687708123825</v>
      </c>
      <c r="AL15" s="47">
        <v>1E-13</v>
      </c>
      <c r="AM15" s="46">
        <v>89.33054837332948</v>
      </c>
      <c r="AN15" s="47">
        <v>1.1694993910198527E-41</v>
      </c>
      <c r="AO15" s="46">
        <v>4.466835921509601E-13</v>
      </c>
      <c r="AP15" s="47">
        <v>81.6582371358593</v>
      </c>
      <c r="AQ15" s="46">
        <v>0.001</v>
      </c>
      <c r="AR15" s="47">
        <v>1E-13</v>
      </c>
      <c r="AS15" s="46">
        <v>90.99132726322514</v>
      </c>
      <c r="AT15" s="47">
        <v>8.109610578538005E-46</v>
      </c>
      <c r="AU15" s="46">
        <v>0.0001076465213629834</v>
      </c>
      <c r="AV15" s="47">
        <v>100</v>
      </c>
      <c r="AW15" s="46">
        <v>1E-13</v>
      </c>
      <c r="AX15" s="47">
        <v>1E-13</v>
      </c>
      <c r="AY15" s="57">
        <v>93.97233105646386</v>
      </c>
      <c r="AZ15" s="46"/>
      <c r="BA15" s="58">
        <v>87.18888670083923</v>
      </c>
      <c r="BB15" s="59">
        <v>116.95546879376629</v>
      </c>
      <c r="BC15" s="15"/>
      <c r="BD15" s="15"/>
      <c r="BE15" s="15"/>
      <c r="BF15" s="15"/>
      <c r="BG15" s="38" t="s">
        <v>62</v>
      </c>
      <c r="BH15" s="39">
        <v>1.34594</v>
      </c>
      <c r="BI15" s="39">
        <v>-0.544599</v>
      </c>
      <c r="BJ15" s="39">
        <v>6.11051E-08</v>
      </c>
      <c r="BK15" s="39">
        <v>-0.255608</v>
      </c>
      <c r="BL15" s="39">
        <v>1.50817</v>
      </c>
      <c r="BM15" s="39">
        <v>-3.30911E-08</v>
      </c>
      <c r="BN15" s="39">
        <v>-0.0511118</v>
      </c>
      <c r="BO15" s="39">
        <v>0.0205351</v>
      </c>
      <c r="BP15" s="39">
        <v>1.21181</v>
      </c>
      <c r="BQ15" s="40">
        <v>1.8</v>
      </c>
    </row>
    <row r="16" spans="2:69" ht="13.5" thickBot="1">
      <c r="B16" s="60">
        <v>460</v>
      </c>
      <c r="C16" s="61">
        <v>0.2908</v>
      </c>
      <c r="D16" s="61">
        <v>0.06</v>
      </c>
      <c r="E16" s="62">
        <v>1.6692</v>
      </c>
      <c r="F16" s="61">
        <v>0.302273</v>
      </c>
      <c r="G16" s="62">
        <v>0.128201</v>
      </c>
      <c r="H16" s="61">
        <v>1.74537</v>
      </c>
      <c r="I16" s="46">
        <v>37.82463957906882</v>
      </c>
      <c r="J16" s="48">
        <v>88.3</v>
      </c>
      <c r="K16" s="63">
        <v>123.1</v>
      </c>
      <c r="L16" s="48">
        <v>90.5586224538761</v>
      </c>
      <c r="M16" s="63">
        <v>100</v>
      </c>
      <c r="N16" s="48">
        <v>7.19</v>
      </c>
      <c r="O16" s="48">
        <v>13.08</v>
      </c>
      <c r="P16" s="63">
        <v>6.72</v>
      </c>
      <c r="Q16" s="47">
        <v>87.15513443178799</v>
      </c>
      <c r="R16" s="63">
        <v>125.5</v>
      </c>
      <c r="S16" s="48">
        <v>32.6</v>
      </c>
      <c r="T16" s="63">
        <v>-2.8</v>
      </c>
      <c r="U16" s="82">
        <v>3.346</v>
      </c>
      <c r="V16" s="53">
        <v>-10</v>
      </c>
      <c r="W16" s="54">
        <v>4.864</v>
      </c>
      <c r="X16" s="53">
        <v>-35.232</v>
      </c>
      <c r="Y16" s="54">
        <v>-7.15</v>
      </c>
      <c r="Z16" s="53">
        <v>4.62</v>
      </c>
      <c r="AA16" s="54">
        <v>0</v>
      </c>
      <c r="AB16" s="53">
        <v>-10</v>
      </c>
      <c r="AC16" s="54">
        <v>4.881</v>
      </c>
      <c r="AD16" s="53">
        <v>-39.491000000000014</v>
      </c>
      <c r="AE16" s="54">
        <v>0.09199999999999986</v>
      </c>
      <c r="AF16" s="53">
        <v>4.955</v>
      </c>
      <c r="AG16" s="54">
        <v>-10</v>
      </c>
      <c r="AH16" s="53">
        <v>-10</v>
      </c>
      <c r="AI16" s="64">
        <v>5</v>
      </c>
      <c r="AJ16" s="54"/>
      <c r="AK16" s="56">
        <v>2.2181964198002206</v>
      </c>
      <c r="AL16" s="47">
        <v>1E-13</v>
      </c>
      <c r="AM16" s="46">
        <v>73.11390834834181</v>
      </c>
      <c r="AN16" s="47">
        <v>5.8613816451402116E-39</v>
      </c>
      <c r="AO16" s="46">
        <v>7.07945784384136E-11</v>
      </c>
      <c r="AP16" s="47">
        <v>41.686938347033625</v>
      </c>
      <c r="AQ16" s="46">
        <v>0.001</v>
      </c>
      <c r="AR16" s="47">
        <v>1E-13</v>
      </c>
      <c r="AS16" s="46">
        <v>76.03262769401834</v>
      </c>
      <c r="AT16" s="47">
        <v>3.2284941217124862E-43</v>
      </c>
      <c r="AU16" s="46">
        <v>0.0012359474334445101</v>
      </c>
      <c r="AV16" s="47">
        <v>90.15711376059575</v>
      </c>
      <c r="AW16" s="46">
        <v>1E-13</v>
      </c>
      <c r="AX16" s="47">
        <v>1E-13</v>
      </c>
      <c r="AY16" s="57">
        <v>100</v>
      </c>
      <c r="AZ16" s="46"/>
      <c r="BA16" s="58">
        <v>90.5586224538761</v>
      </c>
      <c r="BB16" s="59">
        <v>117.7647752137625</v>
      </c>
      <c r="BC16" s="15"/>
      <c r="BD16" s="16" t="s">
        <v>63</v>
      </c>
      <c r="BE16" s="17"/>
      <c r="BF16" s="15"/>
      <c r="BG16" s="38" t="s">
        <v>64</v>
      </c>
      <c r="BH16" s="39">
        <v>3.5057</v>
      </c>
      <c r="BI16" s="39">
        <v>-1.06906</v>
      </c>
      <c r="BJ16" s="39">
        <v>0.0563117</v>
      </c>
      <c r="BK16" s="39">
        <v>-1.73964</v>
      </c>
      <c r="BL16" s="39">
        <v>1.97781</v>
      </c>
      <c r="BM16" s="39">
        <v>-0.196994</v>
      </c>
      <c r="BN16" s="39">
        <v>-0.544011</v>
      </c>
      <c r="BO16" s="39">
        <v>0.035172</v>
      </c>
      <c r="BP16" s="39">
        <v>1.05005</v>
      </c>
      <c r="BQ16" s="40">
        <v>2.2</v>
      </c>
    </row>
    <row r="17" spans="2:69" ht="12.75">
      <c r="B17" s="60">
        <v>470</v>
      </c>
      <c r="C17" s="61">
        <v>0.19536</v>
      </c>
      <c r="D17" s="61">
        <v>0.09098</v>
      </c>
      <c r="E17" s="62">
        <v>1.28764</v>
      </c>
      <c r="F17" s="61">
        <v>0.195618</v>
      </c>
      <c r="G17" s="62">
        <v>0.18519</v>
      </c>
      <c r="H17" s="61">
        <v>1.31756</v>
      </c>
      <c r="I17" s="46">
        <v>42.88184157429907</v>
      </c>
      <c r="J17" s="48">
        <v>92</v>
      </c>
      <c r="K17" s="63">
        <v>123.8</v>
      </c>
      <c r="L17" s="48">
        <v>91.32148317861325</v>
      </c>
      <c r="M17" s="63">
        <v>100</v>
      </c>
      <c r="N17" s="48">
        <v>7.54</v>
      </c>
      <c r="O17" s="48">
        <v>13.71</v>
      </c>
      <c r="P17" s="63">
        <v>5.46</v>
      </c>
      <c r="Q17" s="47">
        <v>89.43661835969299</v>
      </c>
      <c r="R17" s="63">
        <v>121.3</v>
      </c>
      <c r="S17" s="48">
        <v>27.9</v>
      </c>
      <c r="T17" s="63">
        <v>-2.6</v>
      </c>
      <c r="U17" s="82">
        <v>3.582</v>
      </c>
      <c r="V17" s="53">
        <v>-10</v>
      </c>
      <c r="W17" s="54">
        <v>4.743</v>
      </c>
      <c r="X17" s="53">
        <v>-32.532</v>
      </c>
      <c r="Y17" s="54">
        <v>-4.95</v>
      </c>
      <c r="Z17" s="53">
        <v>4.04</v>
      </c>
      <c r="AA17" s="54">
        <v>0</v>
      </c>
      <c r="AB17" s="53">
        <v>1</v>
      </c>
      <c r="AC17" s="54">
        <v>4.672</v>
      </c>
      <c r="AD17" s="53">
        <v>-36.89100000000001</v>
      </c>
      <c r="AE17" s="54">
        <v>1.152</v>
      </c>
      <c r="AF17" s="53">
        <v>4.743</v>
      </c>
      <c r="AG17" s="54">
        <v>-10</v>
      </c>
      <c r="AH17" s="53">
        <v>0</v>
      </c>
      <c r="AI17" s="64">
        <v>4.987</v>
      </c>
      <c r="AJ17" s="54"/>
      <c r="AK17" s="56">
        <v>3.8194427084004694</v>
      </c>
      <c r="AL17" s="47">
        <v>1E-13</v>
      </c>
      <c r="AM17" s="46">
        <v>55.33501092157374</v>
      </c>
      <c r="AN17" s="47">
        <v>2.937649651961542E-36</v>
      </c>
      <c r="AO17" s="46">
        <v>1.1220184543019587E-08</v>
      </c>
      <c r="AP17" s="47">
        <v>10.964781961431855</v>
      </c>
      <c r="AQ17" s="46">
        <v>0.001</v>
      </c>
      <c r="AR17" s="47">
        <v>0.01</v>
      </c>
      <c r="AS17" s="46">
        <v>46.989410860521595</v>
      </c>
      <c r="AT17" s="47">
        <v>1.2852866599435607E-40</v>
      </c>
      <c r="AU17" s="46">
        <v>0.014190575216890924</v>
      </c>
      <c r="AV17" s="47">
        <v>55.33501092157374</v>
      </c>
      <c r="AW17" s="46">
        <v>1E-13</v>
      </c>
      <c r="AX17" s="47">
        <v>0.001</v>
      </c>
      <c r="AY17" s="57">
        <v>97.05099672454912</v>
      </c>
      <c r="AZ17" s="46"/>
      <c r="BA17" s="58">
        <v>91.32148317861325</v>
      </c>
      <c r="BB17" s="59">
        <v>114.82020787900666</v>
      </c>
      <c r="BC17" s="15"/>
      <c r="BD17" s="36" t="s">
        <v>65</v>
      </c>
      <c r="BE17" s="37">
        <v>2856</v>
      </c>
      <c r="BF17" s="15"/>
      <c r="BG17" s="38" t="s">
        <v>66</v>
      </c>
      <c r="BH17" s="39">
        <v>3.24071</v>
      </c>
      <c r="BI17" s="39">
        <v>-0.969258</v>
      </c>
      <c r="BJ17" s="39">
        <v>0.0556352</v>
      </c>
      <c r="BK17" s="39">
        <v>-1.53726</v>
      </c>
      <c r="BL17" s="39">
        <v>1.87599</v>
      </c>
      <c r="BM17" s="39">
        <v>-0.203996</v>
      </c>
      <c r="BN17" s="39">
        <v>-0.498571</v>
      </c>
      <c r="BO17" s="39">
        <v>0.0415557</v>
      </c>
      <c r="BP17" s="39">
        <v>1.05707</v>
      </c>
      <c r="BQ17" s="40">
        <v>2.4</v>
      </c>
    </row>
    <row r="18" spans="2:69" ht="13.5" thickBot="1">
      <c r="B18" s="60">
        <v>480</v>
      </c>
      <c r="C18" s="61">
        <v>0.09564</v>
      </c>
      <c r="D18" s="61">
        <v>0.13902</v>
      </c>
      <c r="E18" s="62">
        <v>0.8129501</v>
      </c>
      <c r="F18" s="61">
        <v>0.080507</v>
      </c>
      <c r="G18" s="62">
        <v>0.253589</v>
      </c>
      <c r="H18" s="61">
        <v>0.772125</v>
      </c>
      <c r="I18" s="46">
        <v>48.25464964896742</v>
      </c>
      <c r="J18" s="48">
        <v>95.2</v>
      </c>
      <c r="K18" s="63">
        <v>123.9</v>
      </c>
      <c r="L18" s="48">
        <v>95.06664044851406</v>
      </c>
      <c r="M18" s="63">
        <v>100</v>
      </c>
      <c r="N18" s="48">
        <v>7.65</v>
      </c>
      <c r="O18" s="48">
        <v>13.95</v>
      </c>
      <c r="P18" s="63">
        <v>5.66</v>
      </c>
      <c r="Q18" s="47">
        <v>91.47943071081232</v>
      </c>
      <c r="R18" s="63">
        <v>121.3</v>
      </c>
      <c r="S18" s="48">
        <v>24.3</v>
      </c>
      <c r="T18" s="63">
        <v>-2.6</v>
      </c>
      <c r="U18" s="82">
        <v>3.818</v>
      </c>
      <c r="V18" s="53">
        <v>-10</v>
      </c>
      <c r="W18" s="54">
        <v>4.582</v>
      </c>
      <c r="X18" s="53">
        <v>-29.831999999999994</v>
      </c>
      <c r="Y18" s="54">
        <v>-2.75</v>
      </c>
      <c r="Z18" s="53">
        <v>2.898</v>
      </c>
      <c r="AA18" s="54">
        <v>0</v>
      </c>
      <c r="AB18" s="53">
        <v>3</v>
      </c>
      <c r="AC18" s="54">
        <v>4.255</v>
      </c>
      <c r="AD18" s="53">
        <v>-34.29100000000001</v>
      </c>
      <c r="AE18" s="54">
        <v>2.207</v>
      </c>
      <c r="AF18" s="53">
        <v>4.343</v>
      </c>
      <c r="AG18" s="54">
        <v>-10</v>
      </c>
      <c r="AH18" s="53">
        <v>3</v>
      </c>
      <c r="AI18" s="64">
        <v>4.929</v>
      </c>
      <c r="AJ18" s="54"/>
      <c r="AK18" s="56">
        <v>6.576578373554213</v>
      </c>
      <c r="AL18" s="47">
        <v>1E-13</v>
      </c>
      <c r="AM18" s="46">
        <v>38.194427084004666</v>
      </c>
      <c r="AN18" s="47">
        <v>1.4723125024327284E-33</v>
      </c>
      <c r="AO18" s="46">
        <v>1.7782794100389204E-06</v>
      </c>
      <c r="AP18" s="47">
        <v>0.7906786279998259</v>
      </c>
      <c r="AQ18" s="46">
        <v>0.001</v>
      </c>
      <c r="AR18" s="47">
        <v>1</v>
      </c>
      <c r="AS18" s="46">
        <v>17.988709151287882</v>
      </c>
      <c r="AT18" s="47">
        <v>5.116818355402877E-38</v>
      </c>
      <c r="AU18" s="46">
        <v>0.16106456351782703</v>
      </c>
      <c r="AV18" s="47">
        <v>22.029264630534595</v>
      </c>
      <c r="AW18" s="46">
        <v>1E-13</v>
      </c>
      <c r="AX18" s="47">
        <v>1</v>
      </c>
      <c r="AY18" s="57">
        <v>84.91804750363154</v>
      </c>
      <c r="AZ18" s="46"/>
      <c r="BA18" s="58">
        <v>95.06664044851406</v>
      </c>
      <c r="BB18" s="59">
        <v>115.88728610484551</v>
      </c>
      <c r="BC18" s="15"/>
      <c r="BD18" s="65" t="s">
        <v>60</v>
      </c>
      <c r="BE18" s="84">
        <v>841937916959.7555</v>
      </c>
      <c r="BF18" s="15"/>
      <c r="BG18" s="85" t="s">
        <v>67</v>
      </c>
      <c r="BH18" s="86">
        <v>1.46281</v>
      </c>
      <c r="BI18" s="86">
        <v>-0.521793</v>
      </c>
      <c r="BJ18" s="86">
        <v>0.0349342</v>
      </c>
      <c r="BK18" s="86">
        <v>-0.184062</v>
      </c>
      <c r="BL18" s="86">
        <v>1.44724</v>
      </c>
      <c r="BM18" s="86">
        <v>-0.0968931</v>
      </c>
      <c r="BN18" s="86">
        <v>-0.274361</v>
      </c>
      <c r="BO18" s="86">
        <v>0.0677228</v>
      </c>
      <c r="BP18" s="86">
        <v>1.28841</v>
      </c>
      <c r="BQ18" s="87">
        <v>2.2</v>
      </c>
    </row>
    <row r="19" spans="2:69" ht="13.5" thickBot="1">
      <c r="B19" s="67">
        <v>490</v>
      </c>
      <c r="C19" s="68">
        <v>0.03201</v>
      </c>
      <c r="D19" s="68">
        <v>0.20802</v>
      </c>
      <c r="E19" s="69">
        <v>0.46518</v>
      </c>
      <c r="F19" s="68">
        <v>0.016172</v>
      </c>
      <c r="G19" s="69">
        <v>0.339133</v>
      </c>
      <c r="H19" s="68">
        <v>0.415254</v>
      </c>
      <c r="I19" s="70">
        <v>53.92494093416303</v>
      </c>
      <c r="J19" s="71">
        <v>96.5</v>
      </c>
      <c r="K19" s="72">
        <v>120.7</v>
      </c>
      <c r="L19" s="71">
        <v>91.9293899750872</v>
      </c>
      <c r="M19" s="72">
        <v>100</v>
      </c>
      <c r="N19" s="71">
        <v>7.62</v>
      </c>
      <c r="O19" s="71">
        <v>13.82</v>
      </c>
      <c r="P19" s="72">
        <v>14.96</v>
      </c>
      <c r="Q19" s="73">
        <v>93.28772678949076</v>
      </c>
      <c r="R19" s="72">
        <v>113.5</v>
      </c>
      <c r="S19" s="71">
        <v>20.1</v>
      </c>
      <c r="T19" s="72">
        <v>-1.8</v>
      </c>
      <c r="U19" s="88">
        <v>4.041</v>
      </c>
      <c r="V19" s="75">
        <v>-10</v>
      </c>
      <c r="W19" s="76">
        <v>4.351</v>
      </c>
      <c r="X19" s="75">
        <v>-27.131999999999994</v>
      </c>
      <c r="Y19" s="76">
        <v>-0.55</v>
      </c>
      <c r="Z19" s="75">
        <v>1.566</v>
      </c>
      <c r="AA19" s="76">
        <v>0</v>
      </c>
      <c r="AB19" s="75">
        <v>3.699</v>
      </c>
      <c r="AC19" s="76">
        <v>3.778</v>
      </c>
      <c r="AD19" s="75">
        <v>-31.69100000000001</v>
      </c>
      <c r="AE19" s="76">
        <v>3.156</v>
      </c>
      <c r="AF19" s="75">
        <v>3.743</v>
      </c>
      <c r="AG19" s="76">
        <v>-10</v>
      </c>
      <c r="AH19" s="75">
        <v>3.699</v>
      </c>
      <c r="AI19" s="77">
        <v>4.813</v>
      </c>
      <c r="AJ19" s="54"/>
      <c r="AK19" s="78">
        <v>10.990058394325224</v>
      </c>
      <c r="AL19" s="73">
        <v>1E-13</v>
      </c>
      <c r="AM19" s="70">
        <v>22.4388192378277</v>
      </c>
      <c r="AN19" s="73">
        <v>7.379042301291077E-31</v>
      </c>
      <c r="AO19" s="70">
        <v>0.0002818382931264452</v>
      </c>
      <c r="AP19" s="73">
        <v>0.03681289736425316</v>
      </c>
      <c r="AQ19" s="70">
        <v>0.001</v>
      </c>
      <c r="AR19" s="73">
        <v>5.000345349769791</v>
      </c>
      <c r="AS19" s="70">
        <v>5.997910762555104</v>
      </c>
      <c r="AT19" s="73">
        <v>2.037042077705646E-35</v>
      </c>
      <c r="AU19" s="70">
        <v>1.4321878992735446</v>
      </c>
      <c r="AV19" s="73">
        <v>5.533501092157367</v>
      </c>
      <c r="AW19" s="70">
        <v>1E-13</v>
      </c>
      <c r="AX19" s="73">
        <v>5.000345349769791</v>
      </c>
      <c r="AY19" s="79">
        <v>65.01296903430911</v>
      </c>
      <c r="AZ19" s="46"/>
      <c r="BA19" s="80">
        <v>91.9293899750872</v>
      </c>
      <c r="BB19" s="81">
        <v>108.78142173880896</v>
      </c>
      <c r="BC19" s="15"/>
      <c r="BD19" s="15"/>
      <c r="BE19" s="89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2:69" ht="13.5" thickBot="1">
      <c r="B20" s="60">
        <v>500</v>
      </c>
      <c r="C20" s="61">
        <v>0.0049</v>
      </c>
      <c r="D20" s="61">
        <v>0.323</v>
      </c>
      <c r="E20" s="62">
        <v>0.272</v>
      </c>
      <c r="F20" s="61">
        <v>0.003816</v>
      </c>
      <c r="G20" s="62">
        <v>0.460777</v>
      </c>
      <c r="H20" s="61">
        <v>0.218502</v>
      </c>
      <c r="I20" s="46">
        <v>59.87209226972303</v>
      </c>
      <c r="J20" s="48">
        <v>94.2</v>
      </c>
      <c r="K20" s="63">
        <v>112.1</v>
      </c>
      <c r="L20" s="48">
        <v>95.69666845102974</v>
      </c>
      <c r="M20" s="63">
        <v>100</v>
      </c>
      <c r="N20" s="48">
        <v>7.28</v>
      </c>
      <c r="O20" s="48">
        <v>13.43</v>
      </c>
      <c r="P20" s="63">
        <v>4.72</v>
      </c>
      <c r="Q20" s="47">
        <v>94.86728204321638</v>
      </c>
      <c r="R20" s="63">
        <v>113.1</v>
      </c>
      <c r="S20" s="48">
        <v>16.2</v>
      </c>
      <c r="T20" s="63">
        <v>-1.5</v>
      </c>
      <c r="U20" s="82">
        <v>4.276</v>
      </c>
      <c r="V20" s="53">
        <v>-10</v>
      </c>
      <c r="W20" s="54">
        <v>3.993</v>
      </c>
      <c r="X20" s="53">
        <v>-24.431999999999995</v>
      </c>
      <c r="Y20" s="54">
        <v>1.65</v>
      </c>
      <c r="Z20" s="53">
        <v>0.165</v>
      </c>
      <c r="AA20" s="54">
        <v>0</v>
      </c>
      <c r="AB20" s="53">
        <v>4.447</v>
      </c>
      <c r="AC20" s="54">
        <v>2.903</v>
      </c>
      <c r="AD20" s="53">
        <v>-29.091000000000008</v>
      </c>
      <c r="AE20" s="54">
        <v>3.804</v>
      </c>
      <c r="AF20" s="53">
        <v>2.99</v>
      </c>
      <c r="AG20" s="54">
        <v>-10</v>
      </c>
      <c r="AH20" s="53">
        <v>4.447</v>
      </c>
      <c r="AI20" s="64">
        <v>4.602</v>
      </c>
      <c r="AJ20" s="54"/>
      <c r="AK20" s="56">
        <v>18.879913490962945</v>
      </c>
      <c r="AL20" s="47">
        <v>1E-13</v>
      </c>
      <c r="AM20" s="46">
        <v>9.840111057611349</v>
      </c>
      <c r="AN20" s="47">
        <v>3.698281797802679E-28</v>
      </c>
      <c r="AO20" s="46">
        <v>0.04466835921509632</v>
      </c>
      <c r="AP20" s="47">
        <v>0.0014621771744567182</v>
      </c>
      <c r="AQ20" s="46">
        <v>0.001</v>
      </c>
      <c r="AR20" s="47">
        <v>27.98981319634367</v>
      </c>
      <c r="AS20" s="46">
        <v>0.7998342550070292</v>
      </c>
      <c r="AT20" s="47">
        <v>8.109610578538149E-33</v>
      </c>
      <c r="AU20" s="46">
        <v>6.36795520907916</v>
      </c>
      <c r="AV20" s="47">
        <v>0.9772372209558113</v>
      </c>
      <c r="AW20" s="46">
        <v>1E-13</v>
      </c>
      <c r="AX20" s="47">
        <v>27.98981319634367</v>
      </c>
      <c r="AY20" s="57">
        <v>39.99447497610982</v>
      </c>
      <c r="AZ20" s="46"/>
      <c r="BA20" s="58">
        <v>95.69666845102974</v>
      </c>
      <c r="BB20" s="59">
        <v>109.33087728906617</v>
      </c>
      <c r="BC20" s="15"/>
      <c r="BD20" s="16" t="s">
        <v>68</v>
      </c>
      <c r="BE20" s="17"/>
      <c r="BF20" s="15"/>
      <c r="BG20" s="90" t="s">
        <v>8</v>
      </c>
      <c r="BH20" s="91" t="s">
        <v>69</v>
      </c>
      <c r="BI20" s="92" t="s">
        <v>70</v>
      </c>
      <c r="BJ20" s="93" t="s">
        <v>71</v>
      </c>
      <c r="BK20" s="15"/>
      <c r="BL20" s="15"/>
      <c r="BM20" s="15"/>
      <c r="BN20" s="15"/>
      <c r="BO20" s="15"/>
      <c r="BP20" s="15"/>
      <c r="BQ20" s="15"/>
    </row>
    <row r="21" spans="2:69" ht="12.75">
      <c r="B21" s="60">
        <v>510</v>
      </c>
      <c r="C21" s="61">
        <v>0.0093</v>
      </c>
      <c r="D21" s="61">
        <v>0.503</v>
      </c>
      <c r="E21" s="62">
        <v>0.1582</v>
      </c>
      <c r="F21" s="61">
        <v>0.037465</v>
      </c>
      <c r="G21" s="62">
        <v>0.606741</v>
      </c>
      <c r="H21" s="61">
        <v>0.112044</v>
      </c>
      <c r="I21" s="46">
        <v>66.0733841487137</v>
      </c>
      <c r="J21" s="48">
        <v>90.7</v>
      </c>
      <c r="K21" s="63">
        <v>102.3</v>
      </c>
      <c r="L21" s="48">
        <v>96.59098268720263</v>
      </c>
      <c r="M21" s="63">
        <v>100</v>
      </c>
      <c r="N21" s="48">
        <v>7.05</v>
      </c>
      <c r="O21" s="48">
        <v>13.08</v>
      </c>
      <c r="P21" s="63">
        <v>1.47</v>
      </c>
      <c r="Q21" s="47">
        <v>96.22519677661553</v>
      </c>
      <c r="R21" s="63">
        <v>110.8</v>
      </c>
      <c r="S21" s="48">
        <v>13.2</v>
      </c>
      <c r="T21" s="63">
        <v>-1.3</v>
      </c>
      <c r="U21" s="82">
        <v>4.513</v>
      </c>
      <c r="V21" s="53">
        <v>-10</v>
      </c>
      <c r="W21" s="54">
        <v>3.402</v>
      </c>
      <c r="X21" s="53">
        <v>-21.731999999999996</v>
      </c>
      <c r="Y21" s="54">
        <v>3.822</v>
      </c>
      <c r="Z21" s="53">
        <v>-1.235</v>
      </c>
      <c r="AA21" s="54">
        <v>0</v>
      </c>
      <c r="AB21" s="53">
        <v>4.833</v>
      </c>
      <c r="AC21" s="54">
        <v>1.699</v>
      </c>
      <c r="AD21" s="53">
        <v>-26.491000000000007</v>
      </c>
      <c r="AE21" s="54">
        <v>4.272</v>
      </c>
      <c r="AF21" s="53">
        <v>1.852</v>
      </c>
      <c r="AG21" s="54">
        <v>-10</v>
      </c>
      <c r="AH21" s="53">
        <v>4.833</v>
      </c>
      <c r="AI21" s="64">
        <v>4.255</v>
      </c>
      <c r="AJ21" s="54"/>
      <c r="AK21" s="56">
        <v>32.58367010020088</v>
      </c>
      <c r="AL21" s="47">
        <v>1E-13</v>
      </c>
      <c r="AM21" s="46">
        <v>2.523480772480577</v>
      </c>
      <c r="AN21" s="47">
        <v>1.8535316234148249E-25</v>
      </c>
      <c r="AO21" s="46">
        <v>6.637430704019091</v>
      </c>
      <c r="AP21" s="47">
        <v>5.821032177708713E-05</v>
      </c>
      <c r="AQ21" s="46">
        <v>0.001</v>
      </c>
      <c r="AR21" s="47">
        <v>68.0769358693743</v>
      </c>
      <c r="AS21" s="46">
        <v>0.05000345349769787</v>
      </c>
      <c r="AT21" s="47">
        <v>3.228494121712567E-30</v>
      </c>
      <c r="AU21" s="46">
        <v>18.706821403658033</v>
      </c>
      <c r="AV21" s="47">
        <v>0.07112135136533294</v>
      </c>
      <c r="AW21" s="46">
        <v>1E-13</v>
      </c>
      <c r="AX21" s="47">
        <v>68.0769358693743</v>
      </c>
      <c r="AY21" s="57">
        <v>17.988709151287882</v>
      </c>
      <c r="AZ21" s="46"/>
      <c r="BA21" s="58">
        <v>96.59098268720263</v>
      </c>
      <c r="BB21" s="59">
        <v>107.78241190321975</v>
      </c>
      <c r="BC21" s="15"/>
      <c r="BD21" s="36" t="s">
        <v>65</v>
      </c>
      <c r="BE21" s="37">
        <v>5000</v>
      </c>
      <c r="BF21" s="15"/>
      <c r="BG21" s="94" t="s">
        <v>38</v>
      </c>
      <c r="BH21" s="95">
        <v>0.11498590053419185</v>
      </c>
      <c r="BI21" s="95">
        <v>0.09939698895977203</v>
      </c>
      <c r="BJ21" s="96">
        <v>0.046971421117420406</v>
      </c>
      <c r="BK21" s="15"/>
      <c r="BL21" s="15"/>
      <c r="BM21" s="15"/>
      <c r="BN21" s="15"/>
      <c r="BO21" s="15"/>
      <c r="BP21" s="15"/>
      <c r="BQ21" s="15"/>
    </row>
    <row r="22" spans="2:69" ht="13.5" thickBot="1">
      <c r="B22" s="60">
        <v>520</v>
      </c>
      <c r="C22" s="61">
        <v>0.06327</v>
      </c>
      <c r="D22" s="61">
        <v>0.71</v>
      </c>
      <c r="E22" s="62">
        <v>0.07824999</v>
      </c>
      <c r="F22" s="61">
        <v>0.117749</v>
      </c>
      <c r="G22" s="62">
        <v>0.761757</v>
      </c>
      <c r="H22" s="61">
        <v>0.060709</v>
      </c>
      <c r="I22" s="46">
        <v>72.50440522395667</v>
      </c>
      <c r="J22" s="48">
        <v>89.5</v>
      </c>
      <c r="K22" s="63">
        <v>96.9</v>
      </c>
      <c r="L22" s="48">
        <v>97.11313634325921</v>
      </c>
      <c r="M22" s="63">
        <v>100</v>
      </c>
      <c r="N22" s="48">
        <v>7.16</v>
      </c>
      <c r="O22" s="48">
        <v>12.78</v>
      </c>
      <c r="P22" s="63">
        <v>0.89</v>
      </c>
      <c r="Q22" s="47">
        <v>97.36962842692313</v>
      </c>
      <c r="R22" s="63">
        <v>106.5</v>
      </c>
      <c r="S22" s="48">
        <v>8.6</v>
      </c>
      <c r="T22" s="63">
        <v>-1.2</v>
      </c>
      <c r="U22" s="82">
        <v>4.702</v>
      </c>
      <c r="V22" s="53">
        <v>-10</v>
      </c>
      <c r="W22" s="54">
        <v>2.805</v>
      </c>
      <c r="X22" s="53">
        <v>-19.031999999999996</v>
      </c>
      <c r="Y22" s="54">
        <v>4.782</v>
      </c>
      <c r="Z22" s="53">
        <v>-2.635</v>
      </c>
      <c r="AA22" s="54">
        <v>0</v>
      </c>
      <c r="AB22" s="53">
        <v>4.964</v>
      </c>
      <c r="AC22" s="54">
        <v>1</v>
      </c>
      <c r="AD22" s="53">
        <v>-23.891000000000005</v>
      </c>
      <c r="AE22" s="54">
        <v>4.626</v>
      </c>
      <c r="AF22" s="53">
        <v>-0.3480000000000001</v>
      </c>
      <c r="AG22" s="54">
        <v>-10</v>
      </c>
      <c r="AH22" s="53">
        <v>4.964</v>
      </c>
      <c r="AI22" s="64">
        <v>3.699</v>
      </c>
      <c r="AJ22" s="54"/>
      <c r="AK22" s="56">
        <v>50.35006087879053</v>
      </c>
      <c r="AL22" s="47">
        <v>1E-13</v>
      </c>
      <c r="AM22" s="46">
        <v>0.6382634861905492</v>
      </c>
      <c r="AN22" s="47">
        <v>9.289663867799389E-23</v>
      </c>
      <c r="AO22" s="46">
        <v>60.53408747539147</v>
      </c>
      <c r="AP22" s="47">
        <v>2.3173946499684793E-06</v>
      </c>
      <c r="AQ22" s="46">
        <v>0.001</v>
      </c>
      <c r="AR22" s="47">
        <v>92.04495717531728</v>
      </c>
      <c r="AS22" s="46">
        <v>0.01</v>
      </c>
      <c r="AT22" s="47">
        <v>1.2852866599435927E-27</v>
      </c>
      <c r="AU22" s="46">
        <v>42.26686142656034</v>
      </c>
      <c r="AV22" s="47">
        <v>0.0004487453899331321</v>
      </c>
      <c r="AW22" s="46">
        <v>1E-13</v>
      </c>
      <c r="AX22" s="47">
        <v>92.04495717531728</v>
      </c>
      <c r="AY22" s="57">
        <v>5.000345349769791</v>
      </c>
      <c r="AZ22" s="46"/>
      <c r="BA22" s="58">
        <v>97.11313634325921</v>
      </c>
      <c r="BB22" s="59">
        <v>104.77705212699111</v>
      </c>
      <c r="BC22" s="15"/>
      <c r="BD22" s="36" t="s">
        <v>40</v>
      </c>
      <c r="BE22" s="37">
        <v>0.0002</v>
      </c>
      <c r="BF22" s="15"/>
      <c r="BG22" s="97" t="s">
        <v>39</v>
      </c>
      <c r="BH22" s="98">
        <v>0.1081346754157158</v>
      </c>
      <c r="BI22" s="98">
        <v>0.09675371048981493</v>
      </c>
      <c r="BJ22" s="99">
        <v>0.06199069297125429</v>
      </c>
      <c r="BK22" s="15"/>
      <c r="BL22" s="15"/>
      <c r="BM22" s="15"/>
      <c r="BN22" s="15"/>
      <c r="BO22" s="15"/>
      <c r="BP22" s="15"/>
      <c r="BQ22" s="15"/>
    </row>
    <row r="23" spans="2:69" ht="12.75">
      <c r="B23" s="60">
        <v>530</v>
      </c>
      <c r="C23" s="61">
        <v>0.1655</v>
      </c>
      <c r="D23" s="61">
        <v>0.862</v>
      </c>
      <c r="E23" s="62">
        <v>0.04216</v>
      </c>
      <c r="F23" s="61">
        <v>0.236491</v>
      </c>
      <c r="G23" s="62">
        <v>0.875211</v>
      </c>
      <c r="H23" s="61">
        <v>0.030451</v>
      </c>
      <c r="I23" s="46">
        <v>79.13944806008315</v>
      </c>
      <c r="J23" s="48">
        <v>92.2</v>
      </c>
      <c r="K23" s="63">
        <v>98</v>
      </c>
      <c r="L23" s="48">
        <v>102.08728984750144</v>
      </c>
      <c r="M23" s="63">
        <v>100</v>
      </c>
      <c r="N23" s="48">
        <v>8.04</v>
      </c>
      <c r="O23" s="48">
        <v>12.44</v>
      </c>
      <c r="P23" s="63">
        <v>1.18</v>
      </c>
      <c r="Q23" s="47">
        <v>98.30955173661594</v>
      </c>
      <c r="R23" s="63">
        <v>108.8</v>
      </c>
      <c r="S23" s="48">
        <v>6.1</v>
      </c>
      <c r="T23" s="63">
        <v>-1</v>
      </c>
      <c r="U23" s="82">
        <v>4.825</v>
      </c>
      <c r="V23" s="53">
        <v>-10</v>
      </c>
      <c r="W23" s="54">
        <v>2.211</v>
      </c>
      <c r="X23" s="53">
        <v>-16.331999999999997</v>
      </c>
      <c r="Y23" s="54">
        <v>5</v>
      </c>
      <c r="Z23" s="53">
        <v>-4.035</v>
      </c>
      <c r="AA23" s="54">
        <v>0</v>
      </c>
      <c r="AB23" s="53">
        <v>5</v>
      </c>
      <c r="AC23" s="54">
        <v>-10</v>
      </c>
      <c r="AD23" s="53">
        <v>-21.291000000000004</v>
      </c>
      <c r="AE23" s="54">
        <v>4.872</v>
      </c>
      <c r="AF23" s="53">
        <v>-2.548</v>
      </c>
      <c r="AG23" s="54">
        <v>-10</v>
      </c>
      <c r="AH23" s="53">
        <v>5</v>
      </c>
      <c r="AI23" s="64">
        <v>2.301</v>
      </c>
      <c r="AJ23" s="54"/>
      <c r="AK23" s="56">
        <v>66.83439175686159</v>
      </c>
      <c r="AL23" s="47">
        <v>1E-13</v>
      </c>
      <c r="AM23" s="46">
        <v>0.16255487557504839</v>
      </c>
      <c r="AN23" s="47">
        <v>4.655860935229614E-20</v>
      </c>
      <c r="AO23" s="46">
        <v>100</v>
      </c>
      <c r="AP23" s="47">
        <v>9.225714271547625E-08</v>
      </c>
      <c r="AQ23" s="46">
        <v>0.001</v>
      </c>
      <c r="AR23" s="47">
        <v>100</v>
      </c>
      <c r="AS23" s="46">
        <v>1E-13</v>
      </c>
      <c r="AT23" s="47">
        <v>5.1168183554030055E-25</v>
      </c>
      <c r="AU23" s="46">
        <v>74.47319739059898</v>
      </c>
      <c r="AV23" s="47">
        <v>2.8313919957993767E-06</v>
      </c>
      <c r="AW23" s="46">
        <v>1E-13</v>
      </c>
      <c r="AX23" s="47">
        <v>100</v>
      </c>
      <c r="AY23" s="57">
        <v>0.1999861869632746</v>
      </c>
      <c r="AZ23" s="46"/>
      <c r="BA23" s="58">
        <v>102.08728984750144</v>
      </c>
      <c r="BB23" s="59">
        <v>107.6803814320004</v>
      </c>
      <c r="BC23" s="15"/>
      <c r="BD23" s="36" t="s">
        <v>42</v>
      </c>
      <c r="BE23" s="37">
        <v>0.345741</v>
      </c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2:69" ht="12.75">
      <c r="B24" s="60">
        <v>540</v>
      </c>
      <c r="C24" s="61">
        <v>0.2904</v>
      </c>
      <c r="D24" s="61">
        <v>0.954</v>
      </c>
      <c r="E24" s="62">
        <v>0.0203</v>
      </c>
      <c r="F24" s="61">
        <v>0.376772</v>
      </c>
      <c r="G24" s="62">
        <v>0.961988</v>
      </c>
      <c r="H24" s="61">
        <v>0.013676</v>
      </c>
      <c r="I24" s="46">
        <v>85.95188857455156</v>
      </c>
      <c r="J24" s="48">
        <v>96.9</v>
      </c>
      <c r="K24" s="63">
        <v>102.1</v>
      </c>
      <c r="L24" s="48">
        <v>100.74727524031019</v>
      </c>
      <c r="M24" s="63">
        <v>100</v>
      </c>
      <c r="N24" s="48">
        <v>10.01</v>
      </c>
      <c r="O24" s="48">
        <v>12.26</v>
      </c>
      <c r="P24" s="63">
        <v>39.59</v>
      </c>
      <c r="Q24" s="47">
        <v>99.05454631961742</v>
      </c>
      <c r="R24" s="63">
        <v>105.3</v>
      </c>
      <c r="S24" s="48">
        <v>4.2</v>
      </c>
      <c r="T24" s="63">
        <v>-0.5</v>
      </c>
      <c r="U24" s="82">
        <v>4.905</v>
      </c>
      <c r="V24" s="53">
        <v>-10</v>
      </c>
      <c r="W24" s="54">
        <v>1</v>
      </c>
      <c r="X24" s="53">
        <v>-13.631999999999998</v>
      </c>
      <c r="Y24" s="54">
        <v>4.906</v>
      </c>
      <c r="Z24" s="53">
        <v>-5.435</v>
      </c>
      <c r="AA24" s="54">
        <v>0</v>
      </c>
      <c r="AB24" s="53">
        <v>4.944</v>
      </c>
      <c r="AC24" s="54">
        <v>-10</v>
      </c>
      <c r="AD24" s="53">
        <v>-18.691000000000003</v>
      </c>
      <c r="AE24" s="54">
        <v>5</v>
      </c>
      <c r="AF24" s="53">
        <v>-4.748</v>
      </c>
      <c r="AG24" s="54">
        <v>-10</v>
      </c>
      <c r="AH24" s="53">
        <v>4.944</v>
      </c>
      <c r="AI24" s="64">
        <v>1.602</v>
      </c>
      <c r="AJ24" s="54"/>
      <c r="AK24" s="56">
        <v>80.35261221856182</v>
      </c>
      <c r="AL24" s="47">
        <v>1E-13</v>
      </c>
      <c r="AM24" s="46">
        <v>0.01</v>
      </c>
      <c r="AN24" s="47">
        <v>2.3334580622810048E-17</v>
      </c>
      <c r="AO24" s="46">
        <v>80.53784411990665</v>
      </c>
      <c r="AP24" s="47">
        <v>3.6728230049808357E-09</v>
      </c>
      <c r="AQ24" s="46">
        <v>0.001</v>
      </c>
      <c r="AR24" s="47">
        <v>87.9022516830886</v>
      </c>
      <c r="AS24" s="46">
        <v>1E-13</v>
      </c>
      <c r="AT24" s="47">
        <v>2.0370420777056967E-22</v>
      </c>
      <c r="AU24" s="46">
        <v>100</v>
      </c>
      <c r="AV24" s="47">
        <v>1.7864875748520486E-08</v>
      </c>
      <c r="AW24" s="46">
        <v>1E-13</v>
      </c>
      <c r="AX24" s="47">
        <v>87.9022516830886</v>
      </c>
      <c r="AY24" s="57">
        <v>0.03999447497610978</v>
      </c>
      <c r="AZ24" s="46"/>
      <c r="BA24" s="58">
        <v>100.74727524031019</v>
      </c>
      <c r="BB24" s="59">
        <v>104.39931850496835</v>
      </c>
      <c r="BC24" s="15"/>
      <c r="BD24" s="36" t="s">
        <v>44</v>
      </c>
      <c r="BE24" s="37">
        <v>0.3586661527570001</v>
      </c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2:69" ht="12.75">
      <c r="B25" s="60">
        <v>550</v>
      </c>
      <c r="C25" s="61">
        <v>0.4334499</v>
      </c>
      <c r="D25" s="61">
        <v>0.9949501</v>
      </c>
      <c r="E25" s="62">
        <v>0.008749999</v>
      </c>
      <c r="F25" s="61">
        <v>0.529826</v>
      </c>
      <c r="G25" s="62">
        <v>0.991761</v>
      </c>
      <c r="H25" s="61">
        <v>0.003988</v>
      </c>
      <c r="I25" s="46">
        <v>92.91454328279498</v>
      </c>
      <c r="J25" s="48">
        <v>101</v>
      </c>
      <c r="K25" s="63">
        <v>105.2</v>
      </c>
      <c r="L25" s="48">
        <v>102.31336445178015</v>
      </c>
      <c r="M25" s="63">
        <v>100</v>
      </c>
      <c r="N25" s="48">
        <v>16.64</v>
      </c>
      <c r="O25" s="48">
        <v>17.05</v>
      </c>
      <c r="P25" s="63">
        <v>32.61</v>
      </c>
      <c r="Q25" s="47">
        <v>99.61461051383009</v>
      </c>
      <c r="R25" s="63">
        <v>104.4</v>
      </c>
      <c r="S25" s="48">
        <v>1.9</v>
      </c>
      <c r="T25" s="63">
        <v>-0.3</v>
      </c>
      <c r="U25" s="82">
        <v>4.957</v>
      </c>
      <c r="V25" s="53">
        <v>-10</v>
      </c>
      <c r="W25" s="54">
        <v>-10</v>
      </c>
      <c r="X25" s="53">
        <v>-10.931999999999999</v>
      </c>
      <c r="Y25" s="54">
        <v>4.644</v>
      </c>
      <c r="Z25" s="53">
        <v>-6.835</v>
      </c>
      <c r="AA25" s="54">
        <v>0</v>
      </c>
      <c r="AB25" s="53">
        <v>4.82</v>
      </c>
      <c r="AC25" s="54">
        <v>-10</v>
      </c>
      <c r="AD25" s="53">
        <v>-16.091</v>
      </c>
      <c r="AE25" s="54">
        <v>4.995</v>
      </c>
      <c r="AF25" s="53">
        <v>-6.948</v>
      </c>
      <c r="AG25" s="54">
        <v>-10</v>
      </c>
      <c r="AH25" s="53">
        <v>4.82</v>
      </c>
      <c r="AI25" s="64">
        <v>0</v>
      </c>
      <c r="AJ25" s="54"/>
      <c r="AK25" s="56">
        <v>90.57326008982004</v>
      </c>
      <c r="AL25" s="47">
        <v>1E-13</v>
      </c>
      <c r="AM25" s="46">
        <v>1E-13</v>
      </c>
      <c r="AN25" s="47">
        <v>1.1694993910198708E-14</v>
      </c>
      <c r="AO25" s="46">
        <v>44.05548635065538</v>
      </c>
      <c r="AP25" s="47">
        <v>1.4621771744567122E-10</v>
      </c>
      <c r="AQ25" s="46">
        <v>0.001</v>
      </c>
      <c r="AR25" s="47">
        <v>66.06934480075974</v>
      </c>
      <c r="AS25" s="46">
        <v>1E-13</v>
      </c>
      <c r="AT25" s="47">
        <v>8.109610578538353E-20</v>
      </c>
      <c r="AU25" s="46">
        <v>98.85530946569408</v>
      </c>
      <c r="AV25" s="47">
        <v>1.1271974561755067E-10</v>
      </c>
      <c r="AW25" s="46">
        <v>1E-13</v>
      </c>
      <c r="AX25" s="47">
        <v>66.06934480075974</v>
      </c>
      <c r="AY25" s="57">
        <v>0.001</v>
      </c>
      <c r="AZ25" s="46"/>
      <c r="BA25" s="58">
        <v>102.31336445178015</v>
      </c>
      <c r="BB25" s="59">
        <v>104.04336568631993</v>
      </c>
      <c r="BC25" s="15"/>
      <c r="BD25" s="36" t="s">
        <v>46</v>
      </c>
      <c r="BE25" s="37">
        <v>-0.15058211192363805</v>
      </c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2:69" ht="12.75">
      <c r="B26" s="60">
        <v>560</v>
      </c>
      <c r="C26" s="61">
        <v>0.5945</v>
      </c>
      <c r="D26" s="61">
        <v>0.995</v>
      </c>
      <c r="E26" s="62">
        <v>0.0039</v>
      </c>
      <c r="F26" s="61">
        <v>0.705224</v>
      </c>
      <c r="G26" s="62">
        <v>0.99734</v>
      </c>
      <c r="H26" s="61">
        <v>0</v>
      </c>
      <c r="I26" s="46">
        <v>100</v>
      </c>
      <c r="J26" s="48">
        <v>102.8</v>
      </c>
      <c r="K26" s="63">
        <v>105.3</v>
      </c>
      <c r="L26" s="48">
        <v>100</v>
      </c>
      <c r="M26" s="63">
        <v>100</v>
      </c>
      <c r="N26" s="48">
        <v>16.16</v>
      </c>
      <c r="O26" s="48">
        <v>12.58</v>
      </c>
      <c r="P26" s="63">
        <v>2.83</v>
      </c>
      <c r="Q26" s="47">
        <v>100</v>
      </c>
      <c r="R26" s="63">
        <v>100</v>
      </c>
      <c r="S26" s="48">
        <v>0</v>
      </c>
      <c r="T26" s="63">
        <v>0</v>
      </c>
      <c r="U26" s="82">
        <v>4.989</v>
      </c>
      <c r="V26" s="53">
        <v>-10</v>
      </c>
      <c r="W26" s="54">
        <v>-10</v>
      </c>
      <c r="X26" s="53">
        <v>-8.232</v>
      </c>
      <c r="Y26" s="54">
        <v>4.221</v>
      </c>
      <c r="Z26" s="53">
        <v>-8.235</v>
      </c>
      <c r="AA26" s="54">
        <v>1</v>
      </c>
      <c r="AB26" s="53">
        <v>4.623</v>
      </c>
      <c r="AC26" s="54">
        <v>-10</v>
      </c>
      <c r="AD26" s="53">
        <v>-13.491</v>
      </c>
      <c r="AE26" s="54">
        <v>4.818</v>
      </c>
      <c r="AF26" s="53">
        <v>-9.148</v>
      </c>
      <c r="AG26" s="54">
        <v>0</v>
      </c>
      <c r="AH26" s="53">
        <v>4.623</v>
      </c>
      <c r="AI26" s="64">
        <v>-10</v>
      </c>
      <c r="AJ26" s="54"/>
      <c r="AK26" s="56">
        <v>97.49896377173883</v>
      </c>
      <c r="AL26" s="47">
        <v>1E-13</v>
      </c>
      <c r="AM26" s="46">
        <v>1E-13</v>
      </c>
      <c r="AN26" s="47">
        <v>5.861381645140282E-12</v>
      </c>
      <c r="AO26" s="46">
        <v>16.634126503701715</v>
      </c>
      <c r="AP26" s="47">
        <v>5.821032177708696E-12</v>
      </c>
      <c r="AQ26" s="46">
        <v>0.01</v>
      </c>
      <c r="AR26" s="47">
        <v>41.97589839910085</v>
      </c>
      <c r="AS26" s="46">
        <v>1E-13</v>
      </c>
      <c r="AT26" s="47">
        <v>3.228494121712625E-17</v>
      </c>
      <c r="AU26" s="46">
        <v>65.76578373554207</v>
      </c>
      <c r="AV26" s="47">
        <v>7.11213513653329E-13</v>
      </c>
      <c r="AW26" s="46">
        <v>0.001</v>
      </c>
      <c r="AX26" s="47">
        <v>41.97589839910085</v>
      </c>
      <c r="AY26" s="57">
        <v>1E-13</v>
      </c>
      <c r="AZ26" s="46"/>
      <c r="BA26" s="58">
        <v>100</v>
      </c>
      <c r="BB26" s="59">
        <v>100</v>
      </c>
      <c r="BC26" s="15"/>
      <c r="BD26" s="36" t="s">
        <v>48</v>
      </c>
      <c r="BE26" s="37">
        <v>-1.040321463861336</v>
      </c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2:69" ht="13.5" thickBot="1">
      <c r="B27" s="60">
        <v>570</v>
      </c>
      <c r="C27" s="61">
        <v>0.7621</v>
      </c>
      <c r="D27" s="61">
        <v>0.952</v>
      </c>
      <c r="E27" s="62">
        <v>0.0021</v>
      </c>
      <c r="F27" s="61">
        <v>0.878655</v>
      </c>
      <c r="G27" s="62">
        <v>0.955552</v>
      </c>
      <c r="H27" s="61">
        <v>0</v>
      </c>
      <c r="I27" s="46">
        <v>107.18091902662721</v>
      </c>
      <c r="J27" s="48">
        <v>102.6</v>
      </c>
      <c r="K27" s="63">
        <v>102.3</v>
      </c>
      <c r="L27" s="48">
        <v>97.73786418676701</v>
      </c>
      <c r="M27" s="63">
        <v>100</v>
      </c>
      <c r="N27" s="48">
        <v>18.62</v>
      </c>
      <c r="O27" s="48">
        <v>12.83</v>
      </c>
      <c r="P27" s="63">
        <v>1.67</v>
      </c>
      <c r="Q27" s="47">
        <v>100.22108940595362</v>
      </c>
      <c r="R27" s="63">
        <v>96</v>
      </c>
      <c r="S27" s="48">
        <v>-1.6</v>
      </c>
      <c r="T27" s="63">
        <v>0.2</v>
      </c>
      <c r="U27" s="82">
        <v>5</v>
      </c>
      <c r="V27" s="53">
        <v>-10</v>
      </c>
      <c r="W27" s="54">
        <v>-10</v>
      </c>
      <c r="X27" s="53">
        <v>-5.532</v>
      </c>
      <c r="Y27" s="54">
        <v>3.609</v>
      </c>
      <c r="Z27" s="53">
        <v>-9.635</v>
      </c>
      <c r="AA27" s="54">
        <v>1.778</v>
      </c>
      <c r="AB27" s="53">
        <v>4.342</v>
      </c>
      <c r="AC27" s="54">
        <v>-10</v>
      </c>
      <c r="AD27" s="53">
        <v>-10.891</v>
      </c>
      <c r="AE27" s="54">
        <v>4.458</v>
      </c>
      <c r="AF27" s="53">
        <v>-11.347999999999999</v>
      </c>
      <c r="AG27" s="54">
        <v>1.778</v>
      </c>
      <c r="AH27" s="53">
        <v>4.342</v>
      </c>
      <c r="AI27" s="64">
        <v>-10</v>
      </c>
      <c r="AJ27" s="54"/>
      <c r="AK27" s="56">
        <v>100</v>
      </c>
      <c r="AL27" s="47">
        <v>1E-13</v>
      </c>
      <c r="AM27" s="46">
        <v>1E-13</v>
      </c>
      <c r="AN27" s="47">
        <v>2.9376496519615252E-09</v>
      </c>
      <c r="AO27" s="46">
        <v>4.064433291652129</v>
      </c>
      <c r="AP27" s="47">
        <v>2.317394649968461E-13</v>
      </c>
      <c r="AQ27" s="46">
        <v>0.059979107625550955</v>
      </c>
      <c r="AR27" s="47">
        <v>21.97859872784827</v>
      </c>
      <c r="AS27" s="46">
        <v>1E-13</v>
      </c>
      <c r="AT27" s="47">
        <v>1.2852866599436113E-14</v>
      </c>
      <c r="AU27" s="46">
        <v>28.707805820246968</v>
      </c>
      <c r="AV27" s="47">
        <v>4.4874538993313205E-15</v>
      </c>
      <c r="AW27" s="46">
        <v>0.059979107625550955</v>
      </c>
      <c r="AX27" s="47">
        <v>21.97859872784827</v>
      </c>
      <c r="AY27" s="57">
        <v>1E-13</v>
      </c>
      <c r="AZ27" s="46"/>
      <c r="BA27" s="58">
        <v>97.73786418676701</v>
      </c>
      <c r="BB27" s="59">
        <v>96.33655974854958</v>
      </c>
      <c r="BC27" s="15"/>
      <c r="BD27" s="65" t="s">
        <v>50</v>
      </c>
      <c r="BE27" s="66">
        <v>0.3667492229444103</v>
      </c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2:69" ht="13.5" thickBot="1">
      <c r="B28" s="60">
        <v>580</v>
      </c>
      <c r="C28" s="61">
        <v>0.9163</v>
      </c>
      <c r="D28" s="61">
        <v>0.87</v>
      </c>
      <c r="E28" s="62">
        <v>0.001650001</v>
      </c>
      <c r="F28" s="61">
        <v>1.01416</v>
      </c>
      <c r="G28" s="62">
        <v>0.868934</v>
      </c>
      <c r="H28" s="61">
        <v>0</v>
      </c>
      <c r="I28" s="46">
        <v>114.43030304266115</v>
      </c>
      <c r="J28" s="48">
        <v>101</v>
      </c>
      <c r="K28" s="63">
        <v>97.8</v>
      </c>
      <c r="L28" s="48">
        <v>98.92449973498688</v>
      </c>
      <c r="M28" s="63">
        <v>100</v>
      </c>
      <c r="N28" s="48">
        <v>22.79</v>
      </c>
      <c r="O28" s="48">
        <v>16.75</v>
      </c>
      <c r="P28" s="63">
        <v>11.28</v>
      </c>
      <c r="Q28" s="47">
        <v>100.2882549726011</v>
      </c>
      <c r="R28" s="63">
        <v>95.1</v>
      </c>
      <c r="S28" s="48">
        <v>-3.5</v>
      </c>
      <c r="T28" s="63">
        <v>0.5</v>
      </c>
      <c r="U28" s="82">
        <v>4.989</v>
      </c>
      <c r="V28" s="53">
        <v>-10</v>
      </c>
      <c r="W28" s="54">
        <v>-10</v>
      </c>
      <c r="X28" s="53">
        <v>-2.8320000000000003</v>
      </c>
      <c r="Y28" s="54">
        <v>2.766</v>
      </c>
      <c r="Z28" s="53">
        <v>-11.035</v>
      </c>
      <c r="AA28" s="54">
        <v>2.653</v>
      </c>
      <c r="AB28" s="53">
        <v>3.954</v>
      </c>
      <c r="AC28" s="54">
        <v>-10</v>
      </c>
      <c r="AD28" s="53">
        <v>-8.291</v>
      </c>
      <c r="AE28" s="54">
        <v>3.915</v>
      </c>
      <c r="AF28" s="53">
        <v>-13.547999999999998</v>
      </c>
      <c r="AG28" s="54">
        <v>2.653</v>
      </c>
      <c r="AH28" s="53">
        <v>3.954</v>
      </c>
      <c r="AI28" s="64">
        <v>-10</v>
      </c>
      <c r="AJ28" s="54"/>
      <c r="AK28" s="56">
        <v>97.49896377173883</v>
      </c>
      <c r="AL28" s="47">
        <v>1E-13</v>
      </c>
      <c r="AM28" s="46">
        <v>1E-13</v>
      </c>
      <c r="AN28" s="47">
        <v>1.4723125024327173E-06</v>
      </c>
      <c r="AO28" s="46">
        <v>0.5834451042737453</v>
      </c>
      <c r="AP28" s="47">
        <v>9.225714271547555E-15</v>
      </c>
      <c r="AQ28" s="46">
        <v>0.4497798548932883</v>
      </c>
      <c r="AR28" s="47">
        <v>8.994975815300357</v>
      </c>
      <c r="AS28" s="46">
        <v>1E-13</v>
      </c>
      <c r="AT28" s="47">
        <v>5.116818355403061E-12</v>
      </c>
      <c r="AU28" s="46">
        <v>8.222426499470725</v>
      </c>
      <c r="AV28" s="47">
        <v>2.8313919957993774E-17</v>
      </c>
      <c r="AW28" s="46">
        <v>0.4497798548932883</v>
      </c>
      <c r="AX28" s="47">
        <v>8.994975815300357</v>
      </c>
      <c r="AY28" s="57">
        <v>1E-13</v>
      </c>
      <c r="AZ28" s="46"/>
      <c r="BA28" s="58">
        <v>98.92449973498688</v>
      </c>
      <c r="BB28" s="59">
        <v>95.79319406222965</v>
      </c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2:69" ht="13.5" thickBot="1">
      <c r="B29" s="100">
        <v>590</v>
      </c>
      <c r="C29" s="68">
        <v>1.0263</v>
      </c>
      <c r="D29" s="68">
        <v>0.757</v>
      </c>
      <c r="E29" s="69">
        <v>0.0011</v>
      </c>
      <c r="F29" s="68">
        <v>1.11852</v>
      </c>
      <c r="G29" s="69">
        <v>0.777405</v>
      </c>
      <c r="H29" s="68">
        <v>0</v>
      </c>
      <c r="I29" s="70">
        <v>121.72173495371513</v>
      </c>
      <c r="J29" s="71">
        <v>99.2</v>
      </c>
      <c r="K29" s="72">
        <v>93.2</v>
      </c>
      <c r="L29" s="71">
        <v>93.51129849169794</v>
      </c>
      <c r="M29" s="72">
        <v>100</v>
      </c>
      <c r="N29" s="71">
        <v>18.66</v>
      </c>
      <c r="O29" s="71">
        <v>12.67</v>
      </c>
      <c r="P29" s="72">
        <v>12.73</v>
      </c>
      <c r="Q29" s="73">
        <v>100.2117763057049</v>
      </c>
      <c r="R29" s="72">
        <v>89.1</v>
      </c>
      <c r="S29" s="71">
        <v>-3.5</v>
      </c>
      <c r="T29" s="72">
        <v>2.1</v>
      </c>
      <c r="U29" s="88">
        <v>4.956</v>
      </c>
      <c r="V29" s="75">
        <v>-10</v>
      </c>
      <c r="W29" s="76">
        <v>-10</v>
      </c>
      <c r="X29" s="75">
        <v>-0.13200000000000012</v>
      </c>
      <c r="Y29" s="76">
        <v>1.579</v>
      </c>
      <c r="Z29" s="75">
        <v>-12.435</v>
      </c>
      <c r="AA29" s="76">
        <v>4.477</v>
      </c>
      <c r="AB29" s="75">
        <v>3.398</v>
      </c>
      <c r="AC29" s="76">
        <v>-10</v>
      </c>
      <c r="AD29" s="75">
        <v>-5.691000000000001</v>
      </c>
      <c r="AE29" s="76">
        <v>3.172</v>
      </c>
      <c r="AF29" s="75">
        <v>-15.747999999999998</v>
      </c>
      <c r="AG29" s="76">
        <v>4.477</v>
      </c>
      <c r="AH29" s="75">
        <v>3.398</v>
      </c>
      <c r="AI29" s="77">
        <v>-10</v>
      </c>
      <c r="AJ29" s="54"/>
      <c r="AK29" s="78">
        <v>90.36494737223026</v>
      </c>
      <c r="AL29" s="73">
        <v>1E-13</v>
      </c>
      <c r="AM29" s="70">
        <v>1E-13</v>
      </c>
      <c r="AN29" s="73">
        <v>0.0007379042301291007</v>
      </c>
      <c r="AO29" s="70">
        <v>0.0379314984973682</v>
      </c>
      <c r="AP29" s="73">
        <v>3.6728230049808136E-16</v>
      </c>
      <c r="AQ29" s="70">
        <v>29.991625189876547</v>
      </c>
      <c r="AR29" s="73">
        <v>2.5003453616964335</v>
      </c>
      <c r="AS29" s="70">
        <v>1E-13</v>
      </c>
      <c r="AT29" s="73">
        <v>2.0370420777057116E-09</v>
      </c>
      <c r="AU29" s="70">
        <v>1.485935642287009</v>
      </c>
      <c r="AV29" s="73">
        <v>1.7864875748520554E-19</v>
      </c>
      <c r="AW29" s="70">
        <v>29.991625189876547</v>
      </c>
      <c r="AX29" s="73">
        <v>2.5003453616964335</v>
      </c>
      <c r="AY29" s="79">
        <v>1E-13</v>
      </c>
      <c r="AZ29" s="46"/>
      <c r="BA29" s="80">
        <v>93.51129849169794</v>
      </c>
      <c r="BB29" s="81">
        <v>88.69161613653255</v>
      </c>
      <c r="BC29" s="15"/>
      <c r="BD29" s="16" t="s">
        <v>72</v>
      </c>
      <c r="BE29" s="17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2:69" ht="12.75">
      <c r="B30" s="60">
        <v>600</v>
      </c>
      <c r="C30" s="61">
        <v>1.0622</v>
      </c>
      <c r="D30" s="61">
        <v>0.631</v>
      </c>
      <c r="E30" s="62">
        <v>0.0008</v>
      </c>
      <c r="F30" s="61">
        <v>1.12399</v>
      </c>
      <c r="G30" s="62">
        <v>0.658341</v>
      </c>
      <c r="H30" s="61">
        <v>0</v>
      </c>
      <c r="I30" s="46">
        <v>129.0295837755883</v>
      </c>
      <c r="J30" s="48">
        <v>98</v>
      </c>
      <c r="K30" s="63">
        <v>89.7</v>
      </c>
      <c r="L30" s="48">
        <v>97.70746200381785</v>
      </c>
      <c r="M30" s="63">
        <v>100</v>
      </c>
      <c r="N30" s="48">
        <v>16.54</v>
      </c>
      <c r="O30" s="48">
        <v>12.19</v>
      </c>
      <c r="P30" s="63">
        <v>7.33</v>
      </c>
      <c r="Q30" s="47">
        <v>100.0017552521127</v>
      </c>
      <c r="R30" s="63">
        <v>90.5</v>
      </c>
      <c r="S30" s="48">
        <v>-5.8</v>
      </c>
      <c r="T30" s="63">
        <v>3.2</v>
      </c>
      <c r="U30" s="82">
        <v>4.902</v>
      </c>
      <c r="V30" s="53">
        <v>-10</v>
      </c>
      <c r="W30" s="54">
        <v>-10</v>
      </c>
      <c r="X30" s="53">
        <v>2.568</v>
      </c>
      <c r="Y30" s="54">
        <v>-0.121</v>
      </c>
      <c r="Z30" s="53">
        <v>-13.835</v>
      </c>
      <c r="AA30" s="54">
        <v>5</v>
      </c>
      <c r="AB30" s="53">
        <v>2.845</v>
      </c>
      <c r="AC30" s="54">
        <v>-10</v>
      </c>
      <c r="AD30" s="53">
        <v>-3.091</v>
      </c>
      <c r="AE30" s="54">
        <v>2.239</v>
      </c>
      <c r="AF30" s="53">
        <v>-17.947999999999997</v>
      </c>
      <c r="AG30" s="54">
        <v>5</v>
      </c>
      <c r="AH30" s="53">
        <v>2.845</v>
      </c>
      <c r="AI30" s="64">
        <v>-10</v>
      </c>
      <c r="AJ30" s="54"/>
      <c r="AK30" s="56">
        <v>79.79946872679773</v>
      </c>
      <c r="AL30" s="47">
        <v>1E-13</v>
      </c>
      <c r="AM30" s="46">
        <v>1E-13</v>
      </c>
      <c r="AN30" s="47">
        <v>0.36982817978026644</v>
      </c>
      <c r="AO30" s="46">
        <v>0.0007568328950209744</v>
      </c>
      <c r="AP30" s="47">
        <v>1.4621771744567035E-17</v>
      </c>
      <c r="AQ30" s="46">
        <v>100</v>
      </c>
      <c r="AR30" s="47">
        <v>0.6998419960022744</v>
      </c>
      <c r="AS30" s="46">
        <v>1E-13</v>
      </c>
      <c r="AT30" s="47">
        <v>8.109610578538396E-07</v>
      </c>
      <c r="AU30" s="46">
        <v>0.1733803997754138</v>
      </c>
      <c r="AV30" s="47">
        <v>1.1271974561755132E-21</v>
      </c>
      <c r="AW30" s="46">
        <v>100</v>
      </c>
      <c r="AX30" s="47">
        <v>0.6998419960022744</v>
      </c>
      <c r="AY30" s="57">
        <v>1E-13</v>
      </c>
      <c r="AZ30" s="46"/>
      <c r="BA30" s="58">
        <v>97.70746200381785</v>
      </c>
      <c r="BB30" s="59">
        <v>90.0160257346795</v>
      </c>
      <c r="BC30" s="15"/>
      <c r="BD30" s="36" t="s">
        <v>65</v>
      </c>
      <c r="BE30" s="37">
        <v>6500</v>
      </c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2:69" ht="12.75">
      <c r="B31" s="60">
        <v>610</v>
      </c>
      <c r="C31" s="61">
        <v>1.0026</v>
      </c>
      <c r="D31" s="61">
        <v>0.503</v>
      </c>
      <c r="E31" s="62">
        <v>0.00034</v>
      </c>
      <c r="F31" s="61">
        <v>1.03048</v>
      </c>
      <c r="G31" s="62">
        <v>0.527963</v>
      </c>
      <c r="H31" s="61">
        <v>0</v>
      </c>
      <c r="I31" s="46">
        <v>136.329179323375</v>
      </c>
      <c r="J31" s="48">
        <v>98.5</v>
      </c>
      <c r="K31" s="63">
        <v>88.4</v>
      </c>
      <c r="L31" s="48">
        <v>99.29398635387369</v>
      </c>
      <c r="M31" s="63">
        <v>100</v>
      </c>
      <c r="N31" s="48">
        <v>13.8</v>
      </c>
      <c r="O31" s="48">
        <v>11.6</v>
      </c>
      <c r="P31" s="63">
        <v>55.27</v>
      </c>
      <c r="Q31" s="47">
        <v>99.66805000215483</v>
      </c>
      <c r="R31" s="63">
        <v>90.3</v>
      </c>
      <c r="S31" s="48">
        <v>-7.2</v>
      </c>
      <c r="T31" s="63">
        <v>4.1</v>
      </c>
      <c r="U31" s="82">
        <v>4.827</v>
      </c>
      <c r="V31" s="53">
        <v>-10</v>
      </c>
      <c r="W31" s="54">
        <v>-10</v>
      </c>
      <c r="X31" s="53">
        <v>4.638</v>
      </c>
      <c r="Y31" s="54">
        <v>-1.821</v>
      </c>
      <c r="Z31" s="53">
        <v>-15.235</v>
      </c>
      <c r="AA31" s="54">
        <v>4.929</v>
      </c>
      <c r="AB31" s="53">
        <v>1.954</v>
      </c>
      <c r="AC31" s="54">
        <v>-10</v>
      </c>
      <c r="AD31" s="53">
        <v>-0.4910000000000001</v>
      </c>
      <c r="AE31" s="54">
        <v>1.07</v>
      </c>
      <c r="AF31" s="53">
        <v>-20.147999999999996</v>
      </c>
      <c r="AG31" s="54">
        <v>4.929</v>
      </c>
      <c r="AH31" s="53">
        <v>1.954</v>
      </c>
      <c r="AI31" s="64">
        <v>-10</v>
      </c>
      <c r="AJ31" s="54"/>
      <c r="AK31" s="56">
        <v>67.14288529259534</v>
      </c>
      <c r="AL31" s="47">
        <v>1E-13</v>
      </c>
      <c r="AM31" s="46">
        <v>1E-13</v>
      </c>
      <c r="AN31" s="47">
        <v>43.451022417157176</v>
      </c>
      <c r="AO31" s="46">
        <v>1.510080154164148E-05</v>
      </c>
      <c r="AP31" s="47">
        <v>5.821032177708651E-19</v>
      </c>
      <c r="AQ31" s="46">
        <v>84.91804750363154</v>
      </c>
      <c r="AR31" s="47">
        <v>0.08994975815300353</v>
      </c>
      <c r="AS31" s="46">
        <v>1E-13</v>
      </c>
      <c r="AT31" s="47">
        <v>0.0003228494121712634</v>
      </c>
      <c r="AU31" s="46">
        <v>0.0117489755493953</v>
      </c>
      <c r="AV31" s="47">
        <v>7.112135136533305E-24</v>
      </c>
      <c r="AW31" s="46">
        <v>84.91804750363154</v>
      </c>
      <c r="AX31" s="47">
        <v>0.08994975815300353</v>
      </c>
      <c r="AY31" s="57">
        <v>1E-13</v>
      </c>
      <c r="AZ31" s="46"/>
      <c r="BA31" s="58">
        <v>99.29398635387369</v>
      </c>
      <c r="BB31" s="59">
        <v>89.61136301707887</v>
      </c>
      <c r="BC31" s="15"/>
      <c r="BD31" s="36" t="s">
        <v>40</v>
      </c>
      <c r="BE31" s="37">
        <v>0.00015384615384615385</v>
      </c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2:69" ht="12.75">
      <c r="B32" s="60">
        <v>620</v>
      </c>
      <c r="C32" s="61">
        <v>0.8544499</v>
      </c>
      <c r="D32" s="61">
        <v>0.381</v>
      </c>
      <c r="E32" s="62">
        <v>0.00019</v>
      </c>
      <c r="F32" s="61">
        <v>0.856297</v>
      </c>
      <c r="G32" s="62">
        <v>0.398057</v>
      </c>
      <c r="H32" s="61">
        <v>0</v>
      </c>
      <c r="I32" s="46">
        <v>143.59695700104737</v>
      </c>
      <c r="J32" s="48">
        <v>99.7</v>
      </c>
      <c r="K32" s="63">
        <v>88.1</v>
      </c>
      <c r="L32" s="48">
        <v>99.07048593704623</v>
      </c>
      <c r="M32" s="63">
        <v>100</v>
      </c>
      <c r="N32" s="48">
        <v>10.95</v>
      </c>
      <c r="O32" s="48">
        <v>11.12</v>
      </c>
      <c r="P32" s="63">
        <v>13.18</v>
      </c>
      <c r="Q32" s="47">
        <v>99.22022261621325</v>
      </c>
      <c r="R32" s="63">
        <v>88.4</v>
      </c>
      <c r="S32" s="48">
        <v>-8.6</v>
      </c>
      <c r="T32" s="63">
        <v>4.7</v>
      </c>
      <c r="U32" s="82">
        <v>4.731</v>
      </c>
      <c r="V32" s="53">
        <v>-10</v>
      </c>
      <c r="W32" s="54">
        <v>-10</v>
      </c>
      <c r="X32" s="53">
        <v>5</v>
      </c>
      <c r="Y32" s="54">
        <v>-3.521</v>
      </c>
      <c r="Z32" s="53">
        <v>-16.635</v>
      </c>
      <c r="AA32" s="54">
        <v>4.74</v>
      </c>
      <c r="AB32" s="53">
        <v>1</v>
      </c>
      <c r="AC32" s="54">
        <v>-10</v>
      </c>
      <c r="AD32" s="53">
        <v>2.109</v>
      </c>
      <c r="AE32" s="54">
        <v>-0.13</v>
      </c>
      <c r="AF32" s="53">
        <v>-22.347999999999995</v>
      </c>
      <c r="AG32" s="54">
        <v>4.74</v>
      </c>
      <c r="AH32" s="53">
        <v>1</v>
      </c>
      <c r="AI32" s="64">
        <v>-10</v>
      </c>
      <c r="AJ32" s="54"/>
      <c r="AK32" s="56">
        <v>53.82697825162882</v>
      </c>
      <c r="AL32" s="47">
        <v>1E-13</v>
      </c>
      <c r="AM32" s="46">
        <v>1E-13</v>
      </c>
      <c r="AN32" s="47">
        <v>100</v>
      </c>
      <c r="AO32" s="46">
        <v>3.013006024186119E-07</v>
      </c>
      <c r="AP32" s="47">
        <v>2.317394649968468E-20</v>
      </c>
      <c r="AQ32" s="46">
        <v>54.954087385762506</v>
      </c>
      <c r="AR32" s="47">
        <v>0.01</v>
      </c>
      <c r="AS32" s="46">
        <v>1E-13</v>
      </c>
      <c r="AT32" s="47">
        <v>0.1285286659943616</v>
      </c>
      <c r="AU32" s="46">
        <v>0.0007413102413009177</v>
      </c>
      <c r="AV32" s="47">
        <v>4.487453899331361E-26</v>
      </c>
      <c r="AW32" s="46">
        <v>54.954087385762506</v>
      </c>
      <c r="AX32" s="47">
        <v>0.01</v>
      </c>
      <c r="AY32" s="57">
        <v>1E-13</v>
      </c>
      <c r="AZ32" s="46"/>
      <c r="BA32" s="58">
        <v>99.07048593704623</v>
      </c>
      <c r="BB32" s="59">
        <v>87.71324616054648</v>
      </c>
      <c r="BC32" s="15"/>
      <c r="BD32" s="36" t="s">
        <v>42</v>
      </c>
      <c r="BE32" s="37">
        <v>0.3127788761948111</v>
      </c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2:69" ht="12.75">
      <c r="B33" s="60">
        <v>630</v>
      </c>
      <c r="C33" s="61">
        <v>0.6424</v>
      </c>
      <c r="D33" s="61">
        <v>0.265</v>
      </c>
      <c r="E33" s="62">
        <v>4.999999E-05</v>
      </c>
      <c r="F33" s="61">
        <v>0.647467</v>
      </c>
      <c r="G33" s="62">
        <v>0.283493</v>
      </c>
      <c r="H33" s="61">
        <v>0</v>
      </c>
      <c r="I33" s="46">
        <v>150.81057438389774</v>
      </c>
      <c r="J33" s="48">
        <v>101</v>
      </c>
      <c r="K33" s="63">
        <v>88</v>
      </c>
      <c r="L33" s="48">
        <v>95.75347494369919</v>
      </c>
      <c r="M33" s="63">
        <v>100</v>
      </c>
      <c r="N33" s="48">
        <v>8.4</v>
      </c>
      <c r="O33" s="48">
        <v>10.76</v>
      </c>
      <c r="P33" s="63">
        <v>12.26</v>
      </c>
      <c r="Q33" s="47">
        <v>98.66749829125665</v>
      </c>
      <c r="R33" s="63">
        <v>84</v>
      </c>
      <c r="S33" s="48">
        <v>-9.5</v>
      </c>
      <c r="T33" s="63">
        <v>5.1</v>
      </c>
      <c r="U33" s="82">
        <v>4.593</v>
      </c>
      <c r="V33" s="53">
        <v>-10</v>
      </c>
      <c r="W33" s="54">
        <v>-10</v>
      </c>
      <c r="X33" s="53">
        <v>4.871</v>
      </c>
      <c r="Y33" s="54">
        <v>-5.221</v>
      </c>
      <c r="Z33" s="53">
        <v>-18.035</v>
      </c>
      <c r="AA33" s="54">
        <v>4.398</v>
      </c>
      <c r="AB33" s="53">
        <v>-10</v>
      </c>
      <c r="AC33" s="54">
        <v>-10</v>
      </c>
      <c r="AD33" s="53">
        <v>4.479</v>
      </c>
      <c r="AE33" s="54">
        <v>-1.33</v>
      </c>
      <c r="AF33" s="53">
        <v>-24.547999999999995</v>
      </c>
      <c r="AG33" s="54">
        <v>4.398</v>
      </c>
      <c r="AH33" s="53">
        <v>0</v>
      </c>
      <c r="AI33" s="64">
        <v>-10</v>
      </c>
      <c r="AJ33" s="54"/>
      <c r="AK33" s="56">
        <v>39.17418771077834</v>
      </c>
      <c r="AL33" s="47">
        <v>1E-13</v>
      </c>
      <c r="AM33" s="46">
        <v>1E-13</v>
      </c>
      <c r="AN33" s="47">
        <v>74.30191378967031</v>
      </c>
      <c r="AO33" s="46">
        <v>6.011737374832777E-09</v>
      </c>
      <c r="AP33" s="47">
        <v>9.225714271547582E-22</v>
      </c>
      <c r="AQ33" s="46">
        <v>25.003453616964336</v>
      </c>
      <c r="AR33" s="47">
        <v>1E-13</v>
      </c>
      <c r="AS33" s="46">
        <v>1E-13</v>
      </c>
      <c r="AT33" s="47">
        <v>30.13006024186124</v>
      </c>
      <c r="AU33" s="46">
        <v>4.677351412871983E-05</v>
      </c>
      <c r="AV33" s="47">
        <v>2.8313919957994032E-28</v>
      </c>
      <c r="AW33" s="46">
        <v>25.003453616964336</v>
      </c>
      <c r="AX33" s="47">
        <v>0.001</v>
      </c>
      <c r="AY33" s="57">
        <v>1E-13</v>
      </c>
      <c r="AZ33" s="46"/>
      <c r="BA33" s="58">
        <v>95.75347494369919</v>
      </c>
      <c r="BB33" s="59">
        <v>83.3046212355819</v>
      </c>
      <c r="BC33" s="15"/>
      <c r="BD33" s="36" t="s">
        <v>44</v>
      </c>
      <c r="BE33" s="37">
        <v>0.32918349849804096</v>
      </c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2:69" ht="12.75">
      <c r="B34" s="60">
        <v>640</v>
      </c>
      <c r="C34" s="61">
        <v>0.4479</v>
      </c>
      <c r="D34" s="61">
        <v>0.175</v>
      </c>
      <c r="E34" s="62">
        <v>2E-05</v>
      </c>
      <c r="F34" s="61">
        <v>0.431567</v>
      </c>
      <c r="G34" s="62">
        <v>0.179828</v>
      </c>
      <c r="H34" s="61">
        <v>0</v>
      </c>
      <c r="I34" s="46">
        <v>157.94900156636507</v>
      </c>
      <c r="J34" s="48">
        <v>102.2</v>
      </c>
      <c r="K34" s="63">
        <v>87.8</v>
      </c>
      <c r="L34" s="48">
        <v>98.8967237498161</v>
      </c>
      <c r="M34" s="63">
        <v>100</v>
      </c>
      <c r="N34" s="48">
        <v>6.31</v>
      </c>
      <c r="O34" s="48">
        <v>10.11</v>
      </c>
      <c r="P34" s="63">
        <v>2.07</v>
      </c>
      <c r="Q34" s="47">
        <v>98.01873481329218</v>
      </c>
      <c r="R34" s="63">
        <v>85.1</v>
      </c>
      <c r="S34" s="48">
        <v>-10.9</v>
      </c>
      <c r="T34" s="63">
        <v>6.7</v>
      </c>
      <c r="U34" s="82">
        <v>4.433</v>
      </c>
      <c r="V34" s="53">
        <v>-10</v>
      </c>
      <c r="W34" s="54">
        <v>-10</v>
      </c>
      <c r="X34" s="53">
        <v>4.604</v>
      </c>
      <c r="Y34" s="54">
        <v>-6.921</v>
      </c>
      <c r="Z34" s="53">
        <v>-19.435</v>
      </c>
      <c r="AA34" s="54">
        <v>4</v>
      </c>
      <c r="AB34" s="53">
        <v>-10</v>
      </c>
      <c r="AC34" s="54">
        <v>-10</v>
      </c>
      <c r="AD34" s="53">
        <v>5</v>
      </c>
      <c r="AE34" s="54">
        <v>-2.53</v>
      </c>
      <c r="AF34" s="53">
        <v>-26.747999999999994</v>
      </c>
      <c r="AG34" s="54">
        <v>4</v>
      </c>
      <c r="AH34" s="53">
        <v>-10</v>
      </c>
      <c r="AI34" s="64">
        <v>-10</v>
      </c>
      <c r="AJ34" s="54"/>
      <c r="AK34" s="56">
        <v>27.101916318908447</v>
      </c>
      <c r="AL34" s="47">
        <v>1E-13</v>
      </c>
      <c r="AM34" s="46">
        <v>1E-13</v>
      </c>
      <c r="AN34" s="47">
        <v>40.17908108489405</v>
      </c>
      <c r="AO34" s="46">
        <v>1.1994993031493763E-10</v>
      </c>
      <c r="AP34" s="47">
        <v>3.67282300498085E-23</v>
      </c>
      <c r="AQ34" s="46">
        <v>10</v>
      </c>
      <c r="AR34" s="47">
        <v>1E-13</v>
      </c>
      <c r="AS34" s="46">
        <v>1E-13</v>
      </c>
      <c r="AT34" s="47">
        <v>100</v>
      </c>
      <c r="AU34" s="46">
        <v>2.9512092266663862E-06</v>
      </c>
      <c r="AV34" s="47">
        <v>1.7864875748520653E-30</v>
      </c>
      <c r="AW34" s="46">
        <v>10</v>
      </c>
      <c r="AX34" s="47">
        <v>1E-13</v>
      </c>
      <c r="AY34" s="57">
        <v>1E-13</v>
      </c>
      <c r="AZ34" s="46"/>
      <c r="BA34" s="58">
        <v>98.8967237498161</v>
      </c>
      <c r="BB34" s="59">
        <v>83.71801817548881</v>
      </c>
      <c r="BC34" s="15"/>
      <c r="BD34" s="36" t="s">
        <v>46</v>
      </c>
      <c r="BE34" s="37">
        <v>-0.13738673981645144</v>
      </c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2:69" ht="12.75">
      <c r="B35" s="60">
        <v>650</v>
      </c>
      <c r="C35" s="61">
        <v>0.2835</v>
      </c>
      <c r="D35" s="61">
        <v>0.107</v>
      </c>
      <c r="E35" s="62">
        <v>0</v>
      </c>
      <c r="F35" s="61">
        <v>0.268329</v>
      </c>
      <c r="G35" s="62">
        <v>0.107633</v>
      </c>
      <c r="H35" s="61">
        <v>0</v>
      </c>
      <c r="I35" s="46">
        <v>164.9925874285872</v>
      </c>
      <c r="J35" s="48">
        <v>103.9</v>
      </c>
      <c r="K35" s="63">
        <v>88.2</v>
      </c>
      <c r="L35" s="48">
        <v>95.7087089908105</v>
      </c>
      <c r="M35" s="63">
        <v>100</v>
      </c>
      <c r="N35" s="48">
        <v>4.68</v>
      </c>
      <c r="O35" s="48">
        <v>10.02</v>
      </c>
      <c r="P35" s="63">
        <v>3.58</v>
      </c>
      <c r="Q35" s="47">
        <v>97.2824007772761</v>
      </c>
      <c r="R35" s="63">
        <v>81.9</v>
      </c>
      <c r="S35" s="48">
        <v>-10.7</v>
      </c>
      <c r="T35" s="63">
        <v>7.3</v>
      </c>
      <c r="U35" s="82">
        <v>4.238</v>
      </c>
      <c r="V35" s="53">
        <v>-10</v>
      </c>
      <c r="W35" s="54">
        <v>-10</v>
      </c>
      <c r="X35" s="53">
        <v>4.286</v>
      </c>
      <c r="Y35" s="54">
        <v>-8.621</v>
      </c>
      <c r="Z35" s="53">
        <v>-20.835</v>
      </c>
      <c r="AA35" s="54">
        <v>3.699</v>
      </c>
      <c r="AB35" s="53">
        <v>-10</v>
      </c>
      <c r="AC35" s="54">
        <v>-10</v>
      </c>
      <c r="AD35" s="53">
        <v>4.899</v>
      </c>
      <c r="AE35" s="54">
        <v>-3.73</v>
      </c>
      <c r="AF35" s="53">
        <v>-28.947999999999993</v>
      </c>
      <c r="AG35" s="54">
        <v>3.699</v>
      </c>
      <c r="AH35" s="53">
        <v>-10</v>
      </c>
      <c r="AI35" s="64">
        <v>-10</v>
      </c>
      <c r="AJ35" s="54"/>
      <c r="AK35" s="56">
        <v>17.298163592151056</v>
      </c>
      <c r="AL35" s="47">
        <v>1E-13</v>
      </c>
      <c r="AM35" s="46">
        <v>1E-13</v>
      </c>
      <c r="AN35" s="47">
        <v>19.319683170169252</v>
      </c>
      <c r="AO35" s="46">
        <v>2.3933157564053786E-12</v>
      </c>
      <c r="AP35" s="47">
        <v>1.4621771744567183E-24</v>
      </c>
      <c r="AQ35" s="46">
        <v>5.000345349769791</v>
      </c>
      <c r="AR35" s="47">
        <v>1E-13</v>
      </c>
      <c r="AS35" s="46">
        <v>1E-13</v>
      </c>
      <c r="AT35" s="47">
        <v>79.2501330480472</v>
      </c>
      <c r="AU35" s="46">
        <v>1.8620871366628675E-07</v>
      </c>
      <c r="AV35" s="47">
        <v>1.1271974561755274E-32</v>
      </c>
      <c r="AW35" s="46">
        <v>5.000345349769791</v>
      </c>
      <c r="AX35" s="47">
        <v>1E-13</v>
      </c>
      <c r="AY35" s="57">
        <v>1E-13</v>
      </c>
      <c r="AZ35" s="46"/>
      <c r="BA35" s="58">
        <v>95.7087089908105</v>
      </c>
      <c r="BB35" s="59">
        <v>80.04564432969468</v>
      </c>
      <c r="BC35" s="15"/>
      <c r="BD35" s="36" t="s">
        <v>48</v>
      </c>
      <c r="BE35" s="37">
        <v>-0.29641061828857146</v>
      </c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2:69" ht="13.5" thickBot="1">
      <c r="B36" s="60">
        <v>660</v>
      </c>
      <c r="C36" s="61">
        <v>0.1649</v>
      </c>
      <c r="D36" s="61">
        <v>0.061</v>
      </c>
      <c r="E36" s="62">
        <v>0</v>
      </c>
      <c r="F36" s="61">
        <v>0.152568</v>
      </c>
      <c r="G36" s="62">
        <v>0.060281</v>
      </c>
      <c r="H36" s="61">
        <v>0</v>
      </c>
      <c r="I36" s="46">
        <v>171.9231040726773</v>
      </c>
      <c r="J36" s="48">
        <v>105</v>
      </c>
      <c r="K36" s="63">
        <v>87.9</v>
      </c>
      <c r="L36" s="48">
        <v>98.23790088365794</v>
      </c>
      <c r="M36" s="63">
        <v>100</v>
      </c>
      <c r="N36" s="48">
        <v>3.45</v>
      </c>
      <c r="O36" s="48">
        <v>9.87</v>
      </c>
      <c r="P36" s="63">
        <v>2.48</v>
      </c>
      <c r="Q36" s="47">
        <v>96.4665612919319</v>
      </c>
      <c r="R36" s="63">
        <v>82.6</v>
      </c>
      <c r="S36" s="48">
        <v>-12</v>
      </c>
      <c r="T36" s="63">
        <v>8.6</v>
      </c>
      <c r="U36" s="82">
        <v>4.013</v>
      </c>
      <c r="V36" s="53">
        <v>-10</v>
      </c>
      <c r="W36" s="54">
        <v>-10</v>
      </c>
      <c r="X36" s="53">
        <v>3.9</v>
      </c>
      <c r="Y36" s="54">
        <v>-10.321</v>
      </c>
      <c r="Z36" s="53">
        <v>-22.235</v>
      </c>
      <c r="AA36" s="54">
        <v>3.176</v>
      </c>
      <c r="AB36" s="53">
        <v>-10</v>
      </c>
      <c r="AC36" s="54">
        <v>-10</v>
      </c>
      <c r="AD36" s="53">
        <v>4.578</v>
      </c>
      <c r="AE36" s="54">
        <v>-4.93</v>
      </c>
      <c r="AF36" s="53">
        <v>-31.147999999999993</v>
      </c>
      <c r="AG36" s="54">
        <v>3.176</v>
      </c>
      <c r="AH36" s="53">
        <v>-10</v>
      </c>
      <c r="AI36" s="64">
        <v>-10</v>
      </c>
      <c r="AJ36" s="54"/>
      <c r="AK36" s="56">
        <v>10.303861204416172</v>
      </c>
      <c r="AL36" s="47">
        <v>1E-13</v>
      </c>
      <c r="AM36" s="46">
        <v>1E-13</v>
      </c>
      <c r="AN36" s="47">
        <v>7.943282347242816</v>
      </c>
      <c r="AO36" s="46">
        <v>4.775292736576901E-14</v>
      </c>
      <c r="AP36" s="47">
        <v>5.821032177708752E-26</v>
      </c>
      <c r="AQ36" s="46">
        <v>1.4996848355023757</v>
      </c>
      <c r="AR36" s="47">
        <v>1E-13</v>
      </c>
      <c r="AS36" s="46">
        <v>1E-13</v>
      </c>
      <c r="AT36" s="47">
        <v>37.844258471709374</v>
      </c>
      <c r="AU36" s="46">
        <v>1.1748975549395286E-08</v>
      </c>
      <c r="AV36" s="47">
        <v>7.112135136533345E-35</v>
      </c>
      <c r="AW36" s="46">
        <v>1.4996848355023757</v>
      </c>
      <c r="AX36" s="47">
        <v>1E-13</v>
      </c>
      <c r="AY36" s="57">
        <v>1E-13</v>
      </c>
      <c r="AZ36" s="46"/>
      <c r="BA36" s="58">
        <v>98.23790088365794</v>
      </c>
      <c r="BB36" s="59">
        <v>80.2359460688409</v>
      </c>
      <c r="BC36" s="15"/>
      <c r="BD36" s="65" t="s">
        <v>50</v>
      </c>
      <c r="BE36" s="66">
        <v>-0.6884862035606907</v>
      </c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2:69" ht="13.5" thickBot="1">
      <c r="B37" s="60">
        <v>670</v>
      </c>
      <c r="C37" s="61">
        <v>0.0874</v>
      </c>
      <c r="D37" s="61">
        <v>0.032</v>
      </c>
      <c r="E37" s="62">
        <v>0</v>
      </c>
      <c r="F37" s="61">
        <v>0.0812606</v>
      </c>
      <c r="G37" s="62">
        <v>0.0318004</v>
      </c>
      <c r="H37" s="61">
        <v>0</v>
      </c>
      <c r="I37" s="46">
        <v>178.72377170925287</v>
      </c>
      <c r="J37" s="48">
        <v>104.9</v>
      </c>
      <c r="K37" s="63">
        <v>86.3</v>
      </c>
      <c r="L37" s="48">
        <v>103.05864287891393</v>
      </c>
      <c r="M37" s="63">
        <v>100</v>
      </c>
      <c r="N37" s="48">
        <v>2.55</v>
      </c>
      <c r="O37" s="48">
        <v>7.27</v>
      </c>
      <c r="P37" s="63">
        <v>1.54</v>
      </c>
      <c r="Q37" s="47">
        <v>95.57887001943234</v>
      </c>
      <c r="R37" s="63">
        <v>84.9</v>
      </c>
      <c r="S37" s="48">
        <v>-14</v>
      </c>
      <c r="T37" s="63">
        <v>9.8</v>
      </c>
      <c r="U37" s="82">
        <v>3.749</v>
      </c>
      <c r="V37" s="53">
        <v>-10</v>
      </c>
      <c r="W37" s="54">
        <v>-10</v>
      </c>
      <c r="X37" s="53">
        <v>3.551</v>
      </c>
      <c r="Y37" s="54">
        <v>-12.020999999999999</v>
      </c>
      <c r="Z37" s="53">
        <v>-23.635</v>
      </c>
      <c r="AA37" s="54">
        <v>2.699</v>
      </c>
      <c r="AB37" s="53">
        <v>-10</v>
      </c>
      <c r="AC37" s="54">
        <v>-10</v>
      </c>
      <c r="AD37" s="53">
        <v>4.252</v>
      </c>
      <c r="AE37" s="54">
        <v>-6.13</v>
      </c>
      <c r="AF37" s="53">
        <v>-33.34799999999999</v>
      </c>
      <c r="AG37" s="54">
        <v>2.699</v>
      </c>
      <c r="AH37" s="53">
        <v>-10</v>
      </c>
      <c r="AI37" s="64">
        <v>-10</v>
      </c>
      <c r="AJ37" s="54"/>
      <c r="AK37" s="56">
        <v>5.610479760324709</v>
      </c>
      <c r="AL37" s="47">
        <v>1E-13</v>
      </c>
      <c r="AM37" s="46">
        <v>1E-13</v>
      </c>
      <c r="AN37" s="47">
        <v>3.5563131856898553</v>
      </c>
      <c r="AO37" s="46">
        <v>9.527961640236522E-16</v>
      </c>
      <c r="AP37" s="47">
        <v>2.3173946499684915E-27</v>
      </c>
      <c r="AQ37" s="46">
        <v>0.5000345349769786</v>
      </c>
      <c r="AR37" s="47">
        <v>1E-13</v>
      </c>
      <c r="AS37" s="46">
        <v>1E-13</v>
      </c>
      <c r="AT37" s="47">
        <v>17.864875748520507</v>
      </c>
      <c r="AU37" s="46">
        <v>7.413102413009161E-10</v>
      </c>
      <c r="AV37" s="47">
        <v>4.487453899331387E-37</v>
      </c>
      <c r="AW37" s="46">
        <v>0.5000345349769786</v>
      </c>
      <c r="AX37" s="47">
        <v>1E-13</v>
      </c>
      <c r="AY37" s="57">
        <v>1E-13</v>
      </c>
      <c r="AZ37" s="46"/>
      <c r="BA37" s="58">
        <v>103.05864287891393</v>
      </c>
      <c r="BB37" s="59">
        <v>82.30258386114524</v>
      </c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2:69" ht="13.5" thickBot="1">
      <c r="B38" s="60">
        <v>680</v>
      </c>
      <c r="C38" s="61">
        <v>0.04677</v>
      </c>
      <c r="D38" s="61">
        <v>0.017</v>
      </c>
      <c r="E38" s="62">
        <v>0</v>
      </c>
      <c r="F38" s="61">
        <v>0.0408508</v>
      </c>
      <c r="G38" s="62">
        <v>0.0159051</v>
      </c>
      <c r="H38" s="61">
        <v>0</v>
      </c>
      <c r="I38" s="46">
        <v>185.37926624976816</v>
      </c>
      <c r="J38" s="48">
        <v>103.9</v>
      </c>
      <c r="K38" s="63">
        <v>84</v>
      </c>
      <c r="L38" s="48">
        <v>99.18921398254714</v>
      </c>
      <c r="M38" s="63">
        <v>100</v>
      </c>
      <c r="N38" s="48">
        <v>1.89</v>
      </c>
      <c r="O38" s="48">
        <v>5.83</v>
      </c>
      <c r="P38" s="63">
        <v>1.46</v>
      </c>
      <c r="Q38" s="47">
        <v>94.62656652646577</v>
      </c>
      <c r="R38" s="63">
        <v>81.3</v>
      </c>
      <c r="S38" s="48">
        <v>-13.6</v>
      </c>
      <c r="T38" s="63">
        <v>10.2</v>
      </c>
      <c r="U38" s="82">
        <v>3.49</v>
      </c>
      <c r="V38" s="53">
        <v>-10</v>
      </c>
      <c r="W38" s="54">
        <v>-10</v>
      </c>
      <c r="X38" s="53">
        <v>3.165</v>
      </c>
      <c r="Y38" s="54">
        <v>-13.720999999999998</v>
      </c>
      <c r="Z38" s="53">
        <v>-25.035</v>
      </c>
      <c r="AA38" s="54">
        <v>2.477</v>
      </c>
      <c r="AB38" s="53">
        <v>-10</v>
      </c>
      <c r="AC38" s="54">
        <v>-10</v>
      </c>
      <c r="AD38" s="53">
        <v>3.875</v>
      </c>
      <c r="AE38" s="54">
        <v>-7.33</v>
      </c>
      <c r="AF38" s="53">
        <v>-35.547999999999995</v>
      </c>
      <c r="AG38" s="54">
        <v>2.477</v>
      </c>
      <c r="AH38" s="53">
        <v>-10</v>
      </c>
      <c r="AI38" s="64">
        <v>-10</v>
      </c>
      <c r="AJ38" s="54"/>
      <c r="AK38" s="56">
        <v>3.090295432513592</v>
      </c>
      <c r="AL38" s="47">
        <v>1E-13</v>
      </c>
      <c r="AM38" s="46">
        <v>1E-13</v>
      </c>
      <c r="AN38" s="47">
        <v>1.4621771744567196</v>
      </c>
      <c r="AO38" s="46">
        <v>1.9010782799233046E-17</v>
      </c>
      <c r="AP38" s="47">
        <v>9.22571427154774E-29</v>
      </c>
      <c r="AQ38" s="46">
        <v>0.2999162518987651</v>
      </c>
      <c r="AR38" s="47">
        <v>1E-13</v>
      </c>
      <c r="AS38" s="46">
        <v>1E-13</v>
      </c>
      <c r="AT38" s="47">
        <v>7.49894209332456</v>
      </c>
      <c r="AU38" s="46">
        <v>4.677351412871977E-11</v>
      </c>
      <c r="AV38" s="47">
        <v>2.831391995799399E-39</v>
      </c>
      <c r="AW38" s="46">
        <v>0.2999162518987651</v>
      </c>
      <c r="AX38" s="47">
        <v>1E-13</v>
      </c>
      <c r="AY38" s="57">
        <v>1E-13</v>
      </c>
      <c r="AZ38" s="46"/>
      <c r="BA38" s="58">
        <v>99.18921398254714</v>
      </c>
      <c r="BB38" s="59">
        <v>78.30862513240552</v>
      </c>
      <c r="BC38" s="15"/>
      <c r="BD38" s="16" t="s">
        <v>73</v>
      </c>
      <c r="BE38" s="17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2:69" ht="12.75">
      <c r="B39" s="67">
        <v>690</v>
      </c>
      <c r="C39" s="68">
        <v>0.0227</v>
      </c>
      <c r="D39" s="68">
        <v>0.00821</v>
      </c>
      <c r="E39" s="69">
        <v>0</v>
      </c>
      <c r="F39" s="68">
        <v>0.0199413</v>
      </c>
      <c r="G39" s="69">
        <v>0.0077488</v>
      </c>
      <c r="H39" s="68">
        <v>0</v>
      </c>
      <c r="I39" s="70">
        <v>191.8757117927525</v>
      </c>
      <c r="J39" s="71">
        <v>101.6</v>
      </c>
      <c r="K39" s="72">
        <v>80.2</v>
      </c>
      <c r="L39" s="71">
        <v>87.42787611677464</v>
      </c>
      <c r="M39" s="72">
        <v>100</v>
      </c>
      <c r="N39" s="71">
        <v>1.53</v>
      </c>
      <c r="O39" s="71">
        <v>5.04</v>
      </c>
      <c r="P39" s="72">
        <v>2</v>
      </c>
      <c r="Q39" s="73">
        <v>93.61647804213015</v>
      </c>
      <c r="R39" s="72">
        <v>71.9</v>
      </c>
      <c r="S39" s="71">
        <v>-12</v>
      </c>
      <c r="T39" s="72">
        <v>8.3</v>
      </c>
      <c r="U39" s="88">
        <v>3.188</v>
      </c>
      <c r="V39" s="75">
        <v>-10</v>
      </c>
      <c r="W39" s="76">
        <v>-10</v>
      </c>
      <c r="X39" s="75">
        <v>2.776</v>
      </c>
      <c r="Y39" s="76">
        <v>-15.420999999999998</v>
      </c>
      <c r="Z39" s="75">
        <v>-26.435</v>
      </c>
      <c r="AA39" s="76">
        <v>2.176</v>
      </c>
      <c r="AB39" s="75">
        <v>-10</v>
      </c>
      <c r="AC39" s="76">
        <v>-10</v>
      </c>
      <c r="AD39" s="75">
        <v>3.491</v>
      </c>
      <c r="AE39" s="76">
        <v>-8.53</v>
      </c>
      <c r="AF39" s="75">
        <v>-37.748</v>
      </c>
      <c r="AG39" s="76">
        <v>2.176</v>
      </c>
      <c r="AH39" s="75">
        <v>-10</v>
      </c>
      <c r="AI39" s="77">
        <v>-10</v>
      </c>
      <c r="AJ39" s="54"/>
      <c r="AK39" s="78">
        <v>1.541700452949561</v>
      </c>
      <c r="AL39" s="73">
        <v>1E-13</v>
      </c>
      <c r="AM39" s="70">
        <v>1E-13</v>
      </c>
      <c r="AN39" s="73">
        <v>0.5970352865838369</v>
      </c>
      <c r="AO39" s="70">
        <v>3.7931498497368226E-19</v>
      </c>
      <c r="AP39" s="73">
        <v>3.6728230049808876E-30</v>
      </c>
      <c r="AQ39" s="70">
        <v>0.14996848355023754</v>
      </c>
      <c r="AR39" s="73">
        <v>1E-13</v>
      </c>
      <c r="AS39" s="70">
        <v>1E-13</v>
      </c>
      <c r="AT39" s="73">
        <v>3.0974192992165834</v>
      </c>
      <c r="AU39" s="70">
        <v>2.9512092266663855E-12</v>
      </c>
      <c r="AV39" s="73">
        <v>1.78648757485205E-41</v>
      </c>
      <c r="AW39" s="70">
        <v>0.14996848355023754</v>
      </c>
      <c r="AX39" s="73">
        <v>1E-13</v>
      </c>
      <c r="AY39" s="79">
        <v>1E-13</v>
      </c>
      <c r="AZ39" s="46"/>
      <c r="BA39" s="80">
        <v>87.42787611677464</v>
      </c>
      <c r="BB39" s="81">
        <v>69.74249192990912</v>
      </c>
      <c r="BC39" s="15"/>
      <c r="BD39" s="101" t="s">
        <v>74</v>
      </c>
      <c r="BE39" s="102">
        <v>0.008856451679035631</v>
      </c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2:69" ht="13.5" thickBot="1">
      <c r="B40" s="60">
        <v>700</v>
      </c>
      <c r="C40" s="61">
        <v>0.01135916</v>
      </c>
      <c r="D40" s="61">
        <v>0.004102</v>
      </c>
      <c r="E40" s="62">
        <v>0</v>
      </c>
      <c r="F40" s="61">
        <v>0.00957688</v>
      </c>
      <c r="G40" s="62">
        <v>0.00371774</v>
      </c>
      <c r="H40" s="61">
        <v>0</v>
      </c>
      <c r="I40" s="46">
        <v>198.20066009267015</v>
      </c>
      <c r="J40" s="48">
        <v>99.1</v>
      </c>
      <c r="K40" s="63">
        <v>76.3</v>
      </c>
      <c r="L40" s="48">
        <v>91.65706800962211</v>
      </c>
      <c r="M40" s="63">
        <v>100</v>
      </c>
      <c r="N40" s="48">
        <v>1.1</v>
      </c>
      <c r="O40" s="48">
        <v>4.12</v>
      </c>
      <c r="P40" s="63">
        <v>1.35</v>
      </c>
      <c r="Q40" s="47">
        <v>92.55502482840123</v>
      </c>
      <c r="R40" s="63">
        <v>74.3</v>
      </c>
      <c r="S40" s="48">
        <v>-13.3</v>
      </c>
      <c r="T40" s="63">
        <v>9.6</v>
      </c>
      <c r="U40" s="82">
        <v>2.901</v>
      </c>
      <c r="V40" s="53">
        <v>-10</v>
      </c>
      <c r="W40" s="54">
        <v>-10</v>
      </c>
      <c r="X40" s="53">
        <v>2.383</v>
      </c>
      <c r="Y40" s="54">
        <v>-17.121</v>
      </c>
      <c r="Z40" s="53">
        <v>-27.835</v>
      </c>
      <c r="AA40" s="54">
        <v>1.699</v>
      </c>
      <c r="AB40" s="53">
        <v>-10</v>
      </c>
      <c r="AC40" s="54">
        <v>-10</v>
      </c>
      <c r="AD40" s="53">
        <v>3.099</v>
      </c>
      <c r="AE40" s="54">
        <v>-9.73</v>
      </c>
      <c r="AF40" s="53">
        <v>-39.948</v>
      </c>
      <c r="AG40" s="54">
        <v>1.699</v>
      </c>
      <c r="AH40" s="53">
        <v>-10</v>
      </c>
      <c r="AI40" s="64">
        <v>-10</v>
      </c>
      <c r="AJ40" s="54"/>
      <c r="AK40" s="56">
        <v>0.7961593504173191</v>
      </c>
      <c r="AL40" s="47">
        <v>1E-13</v>
      </c>
      <c r="AM40" s="46">
        <v>1E-13</v>
      </c>
      <c r="AN40" s="47">
        <v>0.24154608344449421</v>
      </c>
      <c r="AO40" s="46">
        <v>7.568328950209712E-21</v>
      </c>
      <c r="AP40" s="47">
        <v>1.462177174456733E-31</v>
      </c>
      <c r="AQ40" s="46">
        <v>0.05000345349769787</v>
      </c>
      <c r="AR40" s="47">
        <v>1E-13</v>
      </c>
      <c r="AS40" s="46">
        <v>1E-13</v>
      </c>
      <c r="AT40" s="47">
        <v>1.2560299636948757</v>
      </c>
      <c r="AU40" s="46">
        <v>1.8620871366628683E-13</v>
      </c>
      <c r="AV40" s="47">
        <v>1.1271974561755015E-43</v>
      </c>
      <c r="AW40" s="46">
        <v>0.05000345349769787</v>
      </c>
      <c r="AX40" s="47">
        <v>1E-13</v>
      </c>
      <c r="AY40" s="57">
        <v>1E-13</v>
      </c>
      <c r="AZ40" s="46"/>
      <c r="BA40" s="58">
        <v>91.65706800962211</v>
      </c>
      <c r="BB40" s="59">
        <v>71.63279366905537</v>
      </c>
      <c r="BC40" s="15"/>
      <c r="BD40" s="65" t="s">
        <v>75</v>
      </c>
      <c r="BE40" s="103">
        <v>903.2962962962963</v>
      </c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2:69" ht="12.75">
      <c r="B41" s="60">
        <v>710</v>
      </c>
      <c r="C41" s="61">
        <v>0.005790346</v>
      </c>
      <c r="D41" s="61">
        <v>0.002091</v>
      </c>
      <c r="E41" s="62">
        <v>0</v>
      </c>
      <c r="F41" s="61">
        <v>0.00455263</v>
      </c>
      <c r="G41" s="62">
        <v>0.00176847</v>
      </c>
      <c r="H41" s="61">
        <v>0</v>
      </c>
      <c r="I41" s="46">
        <v>204.34305897776082</v>
      </c>
      <c r="J41" s="48">
        <v>96.2</v>
      </c>
      <c r="K41" s="63">
        <v>72.4</v>
      </c>
      <c r="L41" s="48">
        <v>92.93751527883873</v>
      </c>
      <c r="M41" s="63">
        <v>100</v>
      </c>
      <c r="N41" s="48">
        <v>0.88</v>
      </c>
      <c r="O41" s="48">
        <v>3.46</v>
      </c>
      <c r="P41" s="63">
        <v>5.58</v>
      </c>
      <c r="Q41" s="47">
        <v>91.44822847010519</v>
      </c>
      <c r="R41" s="63">
        <v>76.4</v>
      </c>
      <c r="S41" s="48">
        <v>-12.9</v>
      </c>
      <c r="T41" s="63">
        <v>8.5</v>
      </c>
      <c r="U41" s="82">
        <v>2.622</v>
      </c>
      <c r="V41" s="53">
        <v>-10</v>
      </c>
      <c r="W41" s="54">
        <v>-10</v>
      </c>
      <c r="X41" s="53">
        <v>1.97</v>
      </c>
      <c r="Y41" s="54">
        <v>-18.820999999999998</v>
      </c>
      <c r="Z41" s="53">
        <v>-29.235</v>
      </c>
      <c r="AA41" s="54">
        <v>1</v>
      </c>
      <c r="AB41" s="53">
        <v>-10</v>
      </c>
      <c r="AC41" s="54">
        <v>-10</v>
      </c>
      <c r="AD41" s="53">
        <v>2.687</v>
      </c>
      <c r="AE41" s="54">
        <v>-10.93</v>
      </c>
      <c r="AF41" s="53">
        <v>-42.148</v>
      </c>
      <c r="AG41" s="54">
        <v>1</v>
      </c>
      <c r="AH41" s="53">
        <v>-10</v>
      </c>
      <c r="AI41" s="64">
        <v>-10</v>
      </c>
      <c r="AJ41" s="54"/>
      <c r="AK41" s="56">
        <v>0.4187935651179185</v>
      </c>
      <c r="AL41" s="47">
        <v>1E-13</v>
      </c>
      <c r="AM41" s="46">
        <v>1E-13</v>
      </c>
      <c r="AN41" s="47">
        <v>0.09332543007969918</v>
      </c>
      <c r="AO41" s="46">
        <v>1.5100801541641451E-22</v>
      </c>
      <c r="AP41" s="47">
        <v>5.8210321777088516E-33</v>
      </c>
      <c r="AQ41" s="46">
        <v>0.01</v>
      </c>
      <c r="AR41" s="47">
        <v>1E-13</v>
      </c>
      <c r="AS41" s="46">
        <v>1E-13</v>
      </c>
      <c r="AT41" s="47">
        <v>0.4864072056914619</v>
      </c>
      <c r="AU41" s="46">
        <v>1.1748975549395312E-14</v>
      </c>
      <c r="AV41" s="47">
        <v>7.112135136533183E-46</v>
      </c>
      <c r="AW41" s="46">
        <v>0.01</v>
      </c>
      <c r="AX41" s="47">
        <v>1E-13</v>
      </c>
      <c r="AY41" s="57">
        <v>1E-13</v>
      </c>
      <c r="AZ41" s="46"/>
      <c r="BA41" s="58">
        <v>92.93751527883873</v>
      </c>
      <c r="BB41" s="59">
        <v>74.37156424565671</v>
      </c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2:69" ht="12.75">
      <c r="B42" s="60">
        <v>720</v>
      </c>
      <c r="C42" s="61">
        <v>0.002899327</v>
      </c>
      <c r="D42" s="61">
        <v>0.001047</v>
      </c>
      <c r="E42" s="62">
        <v>0</v>
      </c>
      <c r="F42" s="61">
        <v>0.00217496</v>
      </c>
      <c r="G42" s="62">
        <v>0.00084619</v>
      </c>
      <c r="H42" s="61">
        <v>0</v>
      </c>
      <c r="I42" s="46">
        <v>210.29321154546363</v>
      </c>
      <c r="J42" s="48">
        <v>92.9</v>
      </c>
      <c r="K42" s="63">
        <v>68.3</v>
      </c>
      <c r="L42" s="48">
        <v>76.89465207754102</v>
      </c>
      <c r="M42" s="63">
        <v>100</v>
      </c>
      <c r="N42" s="48">
        <v>0.68</v>
      </c>
      <c r="O42" s="48">
        <v>2.73</v>
      </c>
      <c r="P42" s="63">
        <v>0.57</v>
      </c>
      <c r="Q42" s="47">
        <v>90.30172248329441</v>
      </c>
      <c r="R42" s="63">
        <v>63.3</v>
      </c>
      <c r="S42" s="48">
        <v>-10.6</v>
      </c>
      <c r="T42" s="63">
        <v>7</v>
      </c>
      <c r="U42" s="82">
        <v>2.334</v>
      </c>
      <c r="V42" s="53">
        <v>-10</v>
      </c>
      <c r="W42" s="54">
        <v>-10</v>
      </c>
      <c r="X42" s="53">
        <v>1.551</v>
      </c>
      <c r="Y42" s="54">
        <v>-20.520999999999997</v>
      </c>
      <c r="Z42" s="53">
        <v>-30.635</v>
      </c>
      <c r="AA42" s="54">
        <v>-10</v>
      </c>
      <c r="AB42" s="53">
        <v>-10</v>
      </c>
      <c r="AC42" s="54">
        <v>-10</v>
      </c>
      <c r="AD42" s="53">
        <v>2.269</v>
      </c>
      <c r="AE42" s="54">
        <v>-12.13</v>
      </c>
      <c r="AF42" s="53">
        <v>-44.348000000000006</v>
      </c>
      <c r="AG42" s="54">
        <v>0</v>
      </c>
      <c r="AH42" s="53">
        <v>-10</v>
      </c>
      <c r="AI42" s="64">
        <v>-10</v>
      </c>
      <c r="AJ42" s="54"/>
      <c r="AK42" s="56">
        <v>0.21577444091526687</v>
      </c>
      <c r="AL42" s="47">
        <v>1E-13</v>
      </c>
      <c r="AM42" s="46">
        <v>1E-13</v>
      </c>
      <c r="AN42" s="47">
        <v>0.035563131856898536</v>
      </c>
      <c r="AO42" s="46">
        <v>3.013006024186121E-24</v>
      </c>
      <c r="AP42" s="47">
        <v>2.3173946499685313E-34</v>
      </c>
      <c r="AQ42" s="46">
        <v>1E-13</v>
      </c>
      <c r="AR42" s="47">
        <v>1E-13</v>
      </c>
      <c r="AS42" s="46">
        <v>1E-13</v>
      </c>
      <c r="AT42" s="47">
        <v>0.18578044550916997</v>
      </c>
      <c r="AU42" s="46">
        <v>7.413102413009192E-16</v>
      </c>
      <c r="AV42" s="47">
        <v>4.487453899331221E-48</v>
      </c>
      <c r="AW42" s="46">
        <v>0.001</v>
      </c>
      <c r="AX42" s="47">
        <v>1E-13</v>
      </c>
      <c r="AY42" s="57">
        <v>1E-13</v>
      </c>
      <c r="AZ42" s="46"/>
      <c r="BA42" s="58">
        <v>76.89465207754102</v>
      </c>
      <c r="BB42" s="59">
        <v>61.62254912893402</v>
      </c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2:69" ht="12.75">
      <c r="B43" s="60">
        <v>730</v>
      </c>
      <c r="C43" s="61">
        <v>0.001439971</v>
      </c>
      <c r="D43" s="61">
        <v>0.00052</v>
      </c>
      <c r="E43" s="62">
        <v>0</v>
      </c>
      <c r="F43" s="61">
        <v>0.00104476</v>
      </c>
      <c r="G43" s="62">
        <v>0.00040741</v>
      </c>
      <c r="H43" s="61">
        <v>0</v>
      </c>
      <c r="I43" s="46">
        <v>216.04272781712766</v>
      </c>
      <c r="J43" s="48">
        <v>89.4</v>
      </c>
      <c r="K43" s="63">
        <v>64.4</v>
      </c>
      <c r="L43" s="48">
        <v>86.55502307516902</v>
      </c>
      <c r="M43" s="63">
        <v>100</v>
      </c>
      <c r="N43" s="48">
        <v>0.56</v>
      </c>
      <c r="O43" s="48">
        <v>2.25</v>
      </c>
      <c r="P43" s="63">
        <v>0.23</v>
      </c>
      <c r="Q43" s="47">
        <v>89.12076472384867</v>
      </c>
      <c r="R43" s="63">
        <v>71.7</v>
      </c>
      <c r="S43" s="48">
        <v>-11.6</v>
      </c>
      <c r="T43" s="63">
        <v>7.6</v>
      </c>
      <c r="U43" s="82">
        <v>2.041</v>
      </c>
      <c r="V43" s="53">
        <v>-10</v>
      </c>
      <c r="W43" s="54">
        <v>-10</v>
      </c>
      <c r="X43" s="53">
        <v>1.141</v>
      </c>
      <c r="Y43" s="54">
        <v>-22.220999999999997</v>
      </c>
      <c r="Z43" s="53">
        <v>-32.035</v>
      </c>
      <c r="AA43" s="54">
        <v>-10</v>
      </c>
      <c r="AB43" s="53">
        <v>-10</v>
      </c>
      <c r="AC43" s="54">
        <v>-10</v>
      </c>
      <c r="AD43" s="53">
        <v>1.859</v>
      </c>
      <c r="AE43" s="54">
        <v>-13.33</v>
      </c>
      <c r="AF43" s="53">
        <v>-46.54800000000001</v>
      </c>
      <c r="AG43" s="54">
        <v>-10</v>
      </c>
      <c r="AH43" s="53">
        <v>-10</v>
      </c>
      <c r="AI43" s="64">
        <v>-10</v>
      </c>
      <c r="AJ43" s="54"/>
      <c r="AK43" s="56">
        <v>0.10990058394325208</v>
      </c>
      <c r="AL43" s="47">
        <v>1E-13</v>
      </c>
      <c r="AM43" s="46">
        <v>1E-13</v>
      </c>
      <c r="AN43" s="47">
        <v>0.013835663789717817</v>
      </c>
      <c r="AO43" s="46">
        <v>6.011737374832792E-26</v>
      </c>
      <c r="AP43" s="47">
        <v>9.225714271547833E-36</v>
      </c>
      <c r="AQ43" s="46">
        <v>1E-13</v>
      </c>
      <c r="AR43" s="47">
        <v>1E-13</v>
      </c>
      <c r="AS43" s="46">
        <v>1E-13</v>
      </c>
      <c r="AT43" s="47">
        <v>0.07227698036021704</v>
      </c>
      <c r="AU43" s="46">
        <v>4.677351412872013E-17</v>
      </c>
      <c r="AV43" s="47">
        <v>2.831391995799294E-50</v>
      </c>
      <c r="AW43" s="46">
        <v>1E-13</v>
      </c>
      <c r="AX43" s="47">
        <v>1E-13</v>
      </c>
      <c r="AY43" s="57">
        <v>1E-13</v>
      </c>
      <c r="AZ43" s="46"/>
      <c r="BA43" s="58">
        <v>86.55502307516902</v>
      </c>
      <c r="BB43" s="59">
        <v>69.90586802508619</v>
      </c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2:69" ht="12.75">
      <c r="B44" s="60">
        <v>740</v>
      </c>
      <c r="C44" s="61">
        <v>0.0006900786</v>
      </c>
      <c r="D44" s="61">
        <v>0.0002492</v>
      </c>
      <c r="E44" s="62">
        <v>0</v>
      </c>
      <c r="F44" s="61">
        <v>0.000508258</v>
      </c>
      <c r="G44" s="62">
        <v>0.00019873</v>
      </c>
      <c r="H44" s="61">
        <v>0</v>
      </c>
      <c r="I44" s="46">
        <v>221.58447038274113</v>
      </c>
      <c r="J44" s="48">
        <v>86.9</v>
      </c>
      <c r="K44" s="63">
        <v>61.5</v>
      </c>
      <c r="L44" s="48">
        <v>92.62591564266359</v>
      </c>
      <c r="M44" s="63">
        <v>100</v>
      </c>
      <c r="N44" s="48">
        <v>0.51</v>
      </c>
      <c r="O44" s="48">
        <v>1.9</v>
      </c>
      <c r="P44" s="63">
        <v>0.24</v>
      </c>
      <c r="Q44" s="47">
        <v>87.91025115236073</v>
      </c>
      <c r="R44" s="63">
        <v>77</v>
      </c>
      <c r="S44" s="48">
        <v>-12.2</v>
      </c>
      <c r="T44" s="63">
        <v>8</v>
      </c>
      <c r="U44" s="82">
        <v>1.732</v>
      </c>
      <c r="V44" s="53">
        <v>-10</v>
      </c>
      <c r="W44" s="54">
        <v>-10</v>
      </c>
      <c r="X44" s="53">
        <v>0.741</v>
      </c>
      <c r="Y44" s="54">
        <v>-23.920999999999996</v>
      </c>
      <c r="Z44" s="53">
        <v>-33.435</v>
      </c>
      <c r="AA44" s="54">
        <v>-10</v>
      </c>
      <c r="AB44" s="53">
        <v>-10</v>
      </c>
      <c r="AC44" s="54">
        <v>-10</v>
      </c>
      <c r="AD44" s="53">
        <v>1.449</v>
      </c>
      <c r="AE44" s="54">
        <v>-14.53</v>
      </c>
      <c r="AF44" s="53">
        <v>-48.74800000000001</v>
      </c>
      <c r="AG44" s="54">
        <v>-10</v>
      </c>
      <c r="AH44" s="53">
        <v>-10</v>
      </c>
      <c r="AI44" s="64">
        <v>-10</v>
      </c>
      <c r="AJ44" s="54"/>
      <c r="AK44" s="56">
        <v>0.05395106225151279</v>
      </c>
      <c r="AL44" s="47">
        <v>1E-13</v>
      </c>
      <c r="AM44" s="46">
        <v>1E-13</v>
      </c>
      <c r="AN44" s="47">
        <v>0.005508076964054035</v>
      </c>
      <c r="AO44" s="46">
        <v>1.1994993031493836E-27</v>
      </c>
      <c r="AP44" s="47">
        <v>3.672823004980923E-37</v>
      </c>
      <c r="AQ44" s="46">
        <v>1E-13</v>
      </c>
      <c r="AR44" s="47">
        <v>1E-13</v>
      </c>
      <c r="AS44" s="46">
        <v>1E-13</v>
      </c>
      <c r="AT44" s="47">
        <v>0.02811900830398942</v>
      </c>
      <c r="AU44" s="46">
        <v>2.951209226666397E-18</v>
      </c>
      <c r="AV44" s="47">
        <v>1.7864875748519838E-52</v>
      </c>
      <c r="AW44" s="46">
        <v>1E-13</v>
      </c>
      <c r="AX44" s="47">
        <v>1E-13</v>
      </c>
      <c r="AY44" s="57">
        <v>1E-13</v>
      </c>
      <c r="AZ44" s="46"/>
      <c r="BA44" s="58">
        <v>92.62591564266359</v>
      </c>
      <c r="BB44" s="59">
        <v>75.10831991463505</v>
      </c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2:69" ht="12.75">
      <c r="B45" s="60">
        <v>750</v>
      </c>
      <c r="C45" s="61">
        <v>0.0003323011</v>
      </c>
      <c r="D45" s="61">
        <v>0.00012</v>
      </c>
      <c r="E45" s="62">
        <v>0</v>
      </c>
      <c r="F45" s="61">
        <v>0.000250969</v>
      </c>
      <c r="G45" s="62">
        <v>9.8428E-05</v>
      </c>
      <c r="H45" s="61">
        <v>0</v>
      </c>
      <c r="I45" s="46">
        <v>226.91249541541796</v>
      </c>
      <c r="J45" s="48">
        <v>85.2</v>
      </c>
      <c r="K45" s="63">
        <v>59.2</v>
      </c>
      <c r="L45" s="48">
        <v>78.26849872511318</v>
      </c>
      <c r="M45" s="63">
        <v>100</v>
      </c>
      <c r="N45" s="48">
        <v>0.47</v>
      </c>
      <c r="O45" s="48">
        <v>1.62</v>
      </c>
      <c r="P45" s="63">
        <v>0.2</v>
      </c>
      <c r="Q45" s="47">
        <v>86.67473057740204</v>
      </c>
      <c r="R45" s="63">
        <v>65.2</v>
      </c>
      <c r="S45" s="48">
        <v>-10.2</v>
      </c>
      <c r="T45" s="63">
        <v>6.7</v>
      </c>
      <c r="U45" s="82">
        <v>1.431</v>
      </c>
      <c r="V45" s="53">
        <v>-10</v>
      </c>
      <c r="W45" s="54">
        <v>-10</v>
      </c>
      <c r="X45" s="53">
        <v>0.341</v>
      </c>
      <c r="Y45" s="54">
        <v>-25.620999999999995</v>
      </c>
      <c r="Z45" s="53">
        <v>-34.835</v>
      </c>
      <c r="AA45" s="54">
        <v>-10</v>
      </c>
      <c r="AB45" s="53">
        <v>-10</v>
      </c>
      <c r="AC45" s="54">
        <v>-10</v>
      </c>
      <c r="AD45" s="53">
        <v>1.054</v>
      </c>
      <c r="AE45" s="54">
        <v>-15.73</v>
      </c>
      <c r="AF45" s="53">
        <v>-50.948000000000015</v>
      </c>
      <c r="AG45" s="54">
        <v>-10</v>
      </c>
      <c r="AH45" s="53">
        <v>-10</v>
      </c>
      <c r="AI45" s="64">
        <v>-10</v>
      </c>
      <c r="AJ45" s="54"/>
      <c r="AK45" s="56">
        <v>0.026977394324449212</v>
      </c>
      <c r="AL45" s="47">
        <v>1E-13</v>
      </c>
      <c r="AM45" s="46">
        <v>1E-13</v>
      </c>
      <c r="AN45" s="47">
        <v>0.002192804935350449</v>
      </c>
      <c r="AO45" s="46">
        <v>2.3933157564054018E-29</v>
      </c>
      <c r="AP45" s="47">
        <v>1.4621771744567475E-38</v>
      </c>
      <c r="AQ45" s="46">
        <v>1E-13</v>
      </c>
      <c r="AR45" s="47">
        <v>1E-13</v>
      </c>
      <c r="AS45" s="46">
        <v>1E-13</v>
      </c>
      <c r="AT45" s="47">
        <v>0.011324003632355573</v>
      </c>
      <c r="AU45" s="46">
        <v>1.8620871366628828E-19</v>
      </c>
      <c r="AV45" s="47">
        <v>1.12719745617546E-54</v>
      </c>
      <c r="AW45" s="46">
        <v>1E-13</v>
      </c>
      <c r="AX45" s="47">
        <v>1E-13</v>
      </c>
      <c r="AY45" s="57">
        <v>1E-13</v>
      </c>
      <c r="AZ45" s="46"/>
      <c r="BA45" s="58">
        <v>78.26849872511318</v>
      </c>
      <c r="BB45" s="59">
        <v>63.6105307426868</v>
      </c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2:69" ht="12.75">
      <c r="B46" s="60">
        <v>760</v>
      </c>
      <c r="C46" s="61">
        <v>0.0001661505</v>
      </c>
      <c r="D46" s="61">
        <v>6E-05</v>
      </c>
      <c r="E46" s="62">
        <v>0</v>
      </c>
      <c r="F46" s="61">
        <v>0.00012639</v>
      </c>
      <c r="G46" s="62">
        <v>4.9737E-05</v>
      </c>
      <c r="H46" s="61">
        <v>0</v>
      </c>
      <c r="I46" s="46">
        <v>232.0219902875015</v>
      </c>
      <c r="J46" s="48">
        <v>84.7</v>
      </c>
      <c r="K46" s="63">
        <v>58.1</v>
      </c>
      <c r="L46" s="48">
        <v>57.72160337742936</v>
      </c>
      <c r="M46" s="63">
        <v>100</v>
      </c>
      <c r="N46" s="48">
        <v>0.46</v>
      </c>
      <c r="O46" s="48">
        <v>1.45</v>
      </c>
      <c r="P46" s="63">
        <v>0.32</v>
      </c>
      <c r="Q46" s="47">
        <v>85.41842005767288</v>
      </c>
      <c r="R46" s="63">
        <v>47.7</v>
      </c>
      <c r="S46" s="48">
        <v>-7.8</v>
      </c>
      <c r="T46" s="63">
        <v>5.2</v>
      </c>
      <c r="U46" s="82">
        <v>1.146</v>
      </c>
      <c r="V46" s="53">
        <v>-10</v>
      </c>
      <c r="W46" s="54">
        <v>-10</v>
      </c>
      <c r="X46" s="53">
        <v>-0.059</v>
      </c>
      <c r="Y46" s="54">
        <v>-27.320999999999994</v>
      </c>
      <c r="Z46" s="53">
        <v>-36.235</v>
      </c>
      <c r="AA46" s="54">
        <v>-10</v>
      </c>
      <c r="AB46" s="53">
        <v>-10</v>
      </c>
      <c r="AC46" s="54">
        <v>-10</v>
      </c>
      <c r="AD46" s="53">
        <v>0.654</v>
      </c>
      <c r="AE46" s="54">
        <v>-16.93</v>
      </c>
      <c r="AF46" s="53">
        <v>-53.14800000000002</v>
      </c>
      <c r="AG46" s="54">
        <v>-10</v>
      </c>
      <c r="AH46" s="53">
        <v>-10</v>
      </c>
      <c r="AI46" s="64">
        <v>-10</v>
      </c>
      <c r="AJ46" s="54"/>
      <c r="AK46" s="56">
        <v>0.01399587322572618</v>
      </c>
      <c r="AL46" s="47">
        <v>1E-13</v>
      </c>
      <c r="AM46" s="46">
        <v>1E-13</v>
      </c>
      <c r="AN46" s="47">
        <v>0.0008729713683881116</v>
      </c>
      <c r="AO46" s="46">
        <v>4.775292736576947E-31</v>
      </c>
      <c r="AP46" s="47">
        <v>5.821032177708826E-40</v>
      </c>
      <c r="AQ46" s="46">
        <v>1E-13</v>
      </c>
      <c r="AR46" s="47">
        <v>1E-13</v>
      </c>
      <c r="AS46" s="46">
        <v>1E-13</v>
      </c>
      <c r="AT46" s="47">
        <v>0.004508167045414602</v>
      </c>
      <c r="AU46" s="46">
        <v>1.1748975549395359E-20</v>
      </c>
      <c r="AV46" s="47">
        <v>7.112135136532919E-57</v>
      </c>
      <c r="AW46" s="46">
        <v>1E-13</v>
      </c>
      <c r="AX46" s="47">
        <v>1E-13</v>
      </c>
      <c r="AY46" s="57">
        <v>1E-13</v>
      </c>
      <c r="AZ46" s="46"/>
      <c r="BA46" s="58">
        <v>57.72160337742936</v>
      </c>
      <c r="BB46" s="59">
        <v>46.43187456413526</v>
      </c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2:69" ht="12.75">
      <c r="B47" s="60">
        <v>770</v>
      </c>
      <c r="C47" s="61">
        <v>8.307527E-05</v>
      </c>
      <c r="D47" s="61">
        <v>3E-05</v>
      </c>
      <c r="E47" s="62">
        <v>0</v>
      </c>
      <c r="F47" s="61">
        <v>6.45258E-05</v>
      </c>
      <c r="G47" s="62">
        <v>2.5486E-05</v>
      </c>
      <c r="H47" s="61">
        <v>0</v>
      </c>
      <c r="I47" s="46">
        <v>236.90920887776366</v>
      </c>
      <c r="J47" s="48">
        <v>85.4</v>
      </c>
      <c r="K47" s="63">
        <v>58.2</v>
      </c>
      <c r="L47" s="48">
        <v>82.96554464503559</v>
      </c>
      <c r="M47" s="63">
        <v>100</v>
      </c>
      <c r="N47" s="48">
        <v>0.4</v>
      </c>
      <c r="O47" s="48">
        <v>1.17</v>
      </c>
      <c r="P47" s="63">
        <v>0.16</v>
      </c>
      <c r="Q47" s="47">
        <v>84.14522069491304</v>
      </c>
      <c r="R47" s="63">
        <v>68.6</v>
      </c>
      <c r="S47" s="48">
        <v>-11.2</v>
      </c>
      <c r="T47" s="63">
        <v>7.4</v>
      </c>
      <c r="U47" s="82">
        <v>1</v>
      </c>
      <c r="V47" s="53">
        <v>-10</v>
      </c>
      <c r="W47" s="54">
        <v>-10</v>
      </c>
      <c r="X47" s="53">
        <v>-0.459</v>
      </c>
      <c r="Y47" s="54">
        <v>-29.020999999999994</v>
      </c>
      <c r="Z47" s="53">
        <v>-37.635</v>
      </c>
      <c r="AA47" s="54">
        <v>-10</v>
      </c>
      <c r="AB47" s="53">
        <v>-10</v>
      </c>
      <c r="AC47" s="54">
        <v>-10</v>
      </c>
      <c r="AD47" s="53">
        <v>0.254</v>
      </c>
      <c r="AE47" s="54">
        <v>-18.13</v>
      </c>
      <c r="AF47" s="53">
        <v>-55.34800000000002</v>
      </c>
      <c r="AG47" s="54">
        <v>-10</v>
      </c>
      <c r="AH47" s="53">
        <v>-10</v>
      </c>
      <c r="AI47" s="64">
        <v>-10</v>
      </c>
      <c r="AJ47" s="54"/>
      <c r="AK47" s="56">
        <v>0.01</v>
      </c>
      <c r="AL47" s="47">
        <v>1E-13</v>
      </c>
      <c r="AM47" s="46">
        <v>1E-13</v>
      </c>
      <c r="AN47" s="47">
        <v>0.00034753616144320577</v>
      </c>
      <c r="AO47" s="46">
        <v>9.527961640236615E-33</v>
      </c>
      <c r="AP47" s="47">
        <v>2.317394649968554E-41</v>
      </c>
      <c r="AQ47" s="46">
        <v>1E-13</v>
      </c>
      <c r="AR47" s="47">
        <v>1E-13</v>
      </c>
      <c r="AS47" s="46">
        <v>1E-13</v>
      </c>
      <c r="AT47" s="47">
        <v>0.0017947336268325266</v>
      </c>
      <c r="AU47" s="46">
        <v>7.413102413009248E-22</v>
      </c>
      <c r="AV47" s="47">
        <v>4.4874538993310545E-59</v>
      </c>
      <c r="AW47" s="46">
        <v>1E-13</v>
      </c>
      <c r="AX47" s="47">
        <v>1E-13</v>
      </c>
      <c r="AY47" s="57">
        <v>1E-13</v>
      </c>
      <c r="AZ47" s="46"/>
      <c r="BA47" s="58">
        <v>82.96554464503559</v>
      </c>
      <c r="BB47" s="59">
        <v>66.82500101848288</v>
      </c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2:69" ht="12.75">
      <c r="B48" s="60">
        <v>780</v>
      </c>
      <c r="C48" s="61">
        <v>4.150994E-05</v>
      </c>
      <c r="D48" s="61">
        <v>1.499E-05</v>
      </c>
      <c r="E48" s="62">
        <v>0</v>
      </c>
      <c r="F48" s="61">
        <v>3.34117E-05</v>
      </c>
      <c r="G48" s="62">
        <v>1.3249E-05</v>
      </c>
      <c r="H48" s="61">
        <v>0</v>
      </c>
      <c r="I48" s="46">
        <v>241.57140552399795</v>
      </c>
      <c r="J48" s="48">
        <v>0</v>
      </c>
      <c r="K48" s="63">
        <v>0</v>
      </c>
      <c r="L48" s="48">
        <v>78.31323794017987</v>
      </c>
      <c r="M48" s="63">
        <v>100</v>
      </c>
      <c r="N48" s="48">
        <v>0.27</v>
      </c>
      <c r="O48" s="48">
        <v>0.81</v>
      </c>
      <c r="P48" s="63">
        <v>0.09</v>
      </c>
      <c r="Q48" s="47">
        <v>82.85873359441307</v>
      </c>
      <c r="R48" s="63">
        <v>65</v>
      </c>
      <c r="S48" s="48">
        <v>-10.4</v>
      </c>
      <c r="T48" s="63">
        <v>6.8</v>
      </c>
      <c r="U48" s="82">
        <v>-10</v>
      </c>
      <c r="V48" s="53">
        <v>-10</v>
      </c>
      <c r="W48" s="54">
        <v>-10</v>
      </c>
      <c r="X48" s="53">
        <v>-0.859</v>
      </c>
      <c r="Y48" s="54">
        <v>-30.720999999999993</v>
      </c>
      <c r="Z48" s="53">
        <v>-39.035</v>
      </c>
      <c r="AA48" s="54">
        <v>-10</v>
      </c>
      <c r="AB48" s="53">
        <v>-10</v>
      </c>
      <c r="AC48" s="54">
        <v>-10</v>
      </c>
      <c r="AD48" s="53">
        <v>-0.14600000000000002</v>
      </c>
      <c r="AE48" s="54">
        <v>-19.33</v>
      </c>
      <c r="AF48" s="53">
        <v>-57.54800000000002</v>
      </c>
      <c r="AG48" s="54">
        <v>-10</v>
      </c>
      <c r="AH48" s="53">
        <v>-10</v>
      </c>
      <c r="AI48" s="64">
        <v>-10</v>
      </c>
      <c r="AJ48" s="54"/>
      <c r="AK48" s="56">
        <v>1E-13</v>
      </c>
      <c r="AL48" s="47">
        <v>1E-13</v>
      </c>
      <c r="AM48" s="46">
        <v>1E-13</v>
      </c>
      <c r="AN48" s="47">
        <v>0.00013835663789717805</v>
      </c>
      <c r="AO48" s="46">
        <v>1.9010782799233228E-34</v>
      </c>
      <c r="AP48" s="47">
        <v>9.225714271547925E-43</v>
      </c>
      <c r="AQ48" s="46">
        <v>1E-13</v>
      </c>
      <c r="AR48" s="47">
        <v>1E-13</v>
      </c>
      <c r="AS48" s="46">
        <v>1E-13</v>
      </c>
      <c r="AT48" s="47">
        <v>0.0007144963260755133</v>
      </c>
      <c r="AU48" s="46">
        <v>4.6773514128720146E-23</v>
      </c>
      <c r="AV48" s="47">
        <v>2.8313919957992296E-61</v>
      </c>
      <c r="AW48" s="46">
        <v>1E-13</v>
      </c>
      <c r="AX48" s="47">
        <v>1E-13</v>
      </c>
      <c r="AY48" s="57">
        <v>1E-13</v>
      </c>
      <c r="AZ48" s="46"/>
      <c r="BA48" s="58">
        <v>78.31323794017987</v>
      </c>
      <c r="BB48" s="59">
        <v>63.40096424598845</v>
      </c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ht="12.75">
      <c r="B49" s="67">
        <v>790</v>
      </c>
      <c r="C49" s="68">
        <v>2.067383E-05</v>
      </c>
      <c r="D49" s="68">
        <v>7.4657E-06</v>
      </c>
      <c r="E49" s="69">
        <v>0</v>
      </c>
      <c r="F49" s="68">
        <v>1.76115E-05</v>
      </c>
      <c r="G49" s="69">
        <v>7.0128E-06</v>
      </c>
      <c r="H49" s="68">
        <v>0</v>
      </c>
      <c r="I49" s="70">
        <v>246.0067684485255</v>
      </c>
      <c r="J49" s="71">
        <v>0</v>
      </c>
      <c r="K49" s="72">
        <v>0</v>
      </c>
      <c r="L49" s="71">
        <v>79.59465207754104</v>
      </c>
      <c r="M49" s="72">
        <v>100</v>
      </c>
      <c r="N49" s="71">
        <v>0</v>
      </c>
      <c r="O49" s="71">
        <v>0</v>
      </c>
      <c r="P49" s="72">
        <v>0</v>
      </c>
      <c r="Q49" s="73">
        <v>81.56227580912001</v>
      </c>
      <c r="R49" s="72">
        <v>66</v>
      </c>
      <c r="S49" s="71">
        <v>-10.6</v>
      </c>
      <c r="T49" s="72">
        <v>7</v>
      </c>
      <c r="U49" s="88">
        <v>-10</v>
      </c>
      <c r="V49" s="75">
        <v>-10</v>
      </c>
      <c r="W49" s="76">
        <v>-10</v>
      </c>
      <c r="X49" s="75">
        <v>-1.259</v>
      </c>
      <c r="Y49" s="76">
        <v>-32.42099999999999</v>
      </c>
      <c r="Z49" s="75">
        <v>-40.435</v>
      </c>
      <c r="AA49" s="76">
        <v>-10</v>
      </c>
      <c r="AB49" s="75">
        <v>-10</v>
      </c>
      <c r="AC49" s="76">
        <v>-10</v>
      </c>
      <c r="AD49" s="75">
        <v>-0.546</v>
      </c>
      <c r="AE49" s="76">
        <v>-20.53</v>
      </c>
      <c r="AF49" s="75">
        <v>-59.748000000000026</v>
      </c>
      <c r="AG49" s="76">
        <v>-10</v>
      </c>
      <c r="AH49" s="75">
        <v>-10</v>
      </c>
      <c r="AI49" s="77">
        <v>-10</v>
      </c>
      <c r="AJ49" s="54"/>
      <c r="AK49" s="78">
        <v>1E-13</v>
      </c>
      <c r="AL49" s="73">
        <v>1E-13</v>
      </c>
      <c r="AM49" s="70">
        <v>1E-13</v>
      </c>
      <c r="AN49" s="73">
        <v>5.508076964054033E-05</v>
      </c>
      <c r="AO49" s="70">
        <v>3.793149849736873E-36</v>
      </c>
      <c r="AP49" s="73">
        <v>3.6728230049809603E-44</v>
      </c>
      <c r="AQ49" s="70">
        <v>1E-13</v>
      </c>
      <c r="AR49" s="73">
        <v>1E-13</v>
      </c>
      <c r="AS49" s="70">
        <v>1E-13</v>
      </c>
      <c r="AT49" s="73">
        <v>0.00028444611074479153</v>
      </c>
      <c r="AU49" s="70">
        <v>2.951209226666419E-24</v>
      </c>
      <c r="AV49" s="73">
        <v>1.7864875748519433E-63</v>
      </c>
      <c r="AW49" s="70">
        <v>1E-13</v>
      </c>
      <c r="AX49" s="73">
        <v>1E-13</v>
      </c>
      <c r="AY49" s="79">
        <v>1E-13</v>
      </c>
      <c r="AZ49" s="46"/>
      <c r="BA49" s="80">
        <v>79.59465207754104</v>
      </c>
      <c r="BB49" s="81">
        <v>64.32254912893403</v>
      </c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ht="12.75">
      <c r="B50" s="60">
        <v>800</v>
      </c>
      <c r="C50" s="61">
        <v>1.025398E-05</v>
      </c>
      <c r="D50" s="61">
        <v>3.7029E-06</v>
      </c>
      <c r="E50" s="62">
        <v>0</v>
      </c>
      <c r="F50" s="61">
        <v>9.41363E-06</v>
      </c>
      <c r="G50" s="62">
        <v>3.76473E-06</v>
      </c>
      <c r="H50" s="61">
        <v>0</v>
      </c>
      <c r="I50" s="46">
        <v>250.2143533664808</v>
      </c>
      <c r="J50" s="48">
        <v>0</v>
      </c>
      <c r="K50" s="63">
        <v>0</v>
      </c>
      <c r="L50" s="48">
        <v>73.43831322629919</v>
      </c>
      <c r="M50" s="63">
        <v>100</v>
      </c>
      <c r="N50" s="48">
        <v>0</v>
      </c>
      <c r="O50" s="48">
        <v>0</v>
      </c>
      <c r="P50" s="63">
        <v>0</v>
      </c>
      <c r="Q50" s="47">
        <v>80.25889611727123</v>
      </c>
      <c r="R50" s="63">
        <v>61</v>
      </c>
      <c r="S50" s="48">
        <v>-9.7</v>
      </c>
      <c r="T50" s="63">
        <v>6.4</v>
      </c>
      <c r="U50" s="82">
        <v>-10</v>
      </c>
      <c r="V50" s="53">
        <v>-10</v>
      </c>
      <c r="W50" s="54">
        <v>-10</v>
      </c>
      <c r="X50" s="53">
        <v>-1.6589999999999998</v>
      </c>
      <c r="Y50" s="54">
        <v>-34.120999999999995</v>
      </c>
      <c r="Z50" s="53">
        <v>-41.835</v>
      </c>
      <c r="AA50" s="54">
        <v>-10</v>
      </c>
      <c r="AB50" s="53">
        <v>-10</v>
      </c>
      <c r="AC50" s="54">
        <v>-10</v>
      </c>
      <c r="AD50" s="53">
        <v>-0.9460000000000001</v>
      </c>
      <c r="AE50" s="54">
        <v>-21.73</v>
      </c>
      <c r="AF50" s="53">
        <v>-61.94800000000003</v>
      </c>
      <c r="AG50" s="54">
        <v>-10</v>
      </c>
      <c r="AH50" s="53">
        <v>-10</v>
      </c>
      <c r="AI50" s="64">
        <v>-10</v>
      </c>
      <c r="AJ50" s="54"/>
      <c r="AK50" s="56">
        <v>1E-13</v>
      </c>
      <c r="AL50" s="47">
        <v>1E-13</v>
      </c>
      <c r="AM50" s="46">
        <v>1E-13</v>
      </c>
      <c r="AN50" s="47">
        <v>2.1928049353504493E-05</v>
      </c>
      <c r="AO50" s="46">
        <v>7.568328950209759E-38</v>
      </c>
      <c r="AP50" s="47">
        <v>1.462177174456783E-45</v>
      </c>
      <c r="AQ50" s="46">
        <v>1E-13</v>
      </c>
      <c r="AR50" s="47">
        <v>1E-13</v>
      </c>
      <c r="AS50" s="46">
        <v>1E-13</v>
      </c>
      <c r="AT50" s="47">
        <v>0.00011324003632355565</v>
      </c>
      <c r="AU50" s="46">
        <v>1.8620871366628837E-25</v>
      </c>
      <c r="AV50" s="47">
        <v>1.1271974561754343E-65</v>
      </c>
      <c r="AW50" s="46">
        <v>1E-13</v>
      </c>
      <c r="AX50" s="47">
        <v>1E-13</v>
      </c>
      <c r="AY50" s="57">
        <v>1E-13</v>
      </c>
      <c r="AZ50" s="46"/>
      <c r="BA50" s="58">
        <v>73.43831322629919</v>
      </c>
      <c r="BB50" s="59">
        <v>59.46887129461072</v>
      </c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  <row r="51" spans="2:69" ht="12.75">
      <c r="B51" s="60">
        <v>810</v>
      </c>
      <c r="C51" s="61">
        <v>5.085868E-06</v>
      </c>
      <c r="D51" s="61">
        <v>1.8366E-06</v>
      </c>
      <c r="E51" s="62">
        <v>0</v>
      </c>
      <c r="F51" s="61">
        <v>5.09347E-06</v>
      </c>
      <c r="G51" s="62">
        <v>2.04613E-06</v>
      </c>
      <c r="H51" s="61">
        <v>0</v>
      </c>
      <c r="I51" s="46">
        <v>254.19401787860707</v>
      </c>
      <c r="J51" s="48">
        <v>0</v>
      </c>
      <c r="K51" s="63">
        <v>0</v>
      </c>
      <c r="L51" s="48">
        <v>63.95178887624334</v>
      </c>
      <c r="M51" s="63">
        <v>100</v>
      </c>
      <c r="N51" s="48">
        <v>0</v>
      </c>
      <c r="O51" s="48">
        <v>0</v>
      </c>
      <c r="P51" s="63">
        <v>0</v>
      </c>
      <c r="Q51" s="47">
        <v>78.9513905127611</v>
      </c>
      <c r="R51" s="63">
        <v>53.3</v>
      </c>
      <c r="S51" s="48">
        <v>-8.3</v>
      </c>
      <c r="T51" s="63">
        <v>5.5</v>
      </c>
      <c r="U51" s="82">
        <v>-10</v>
      </c>
      <c r="V51" s="53">
        <v>-10</v>
      </c>
      <c r="W51" s="54">
        <v>-10</v>
      </c>
      <c r="X51" s="53">
        <v>-2.0589999999999997</v>
      </c>
      <c r="Y51" s="54">
        <v>-35.821</v>
      </c>
      <c r="Z51" s="53">
        <v>-43.235</v>
      </c>
      <c r="AA51" s="54">
        <v>-10</v>
      </c>
      <c r="AB51" s="53">
        <v>-10</v>
      </c>
      <c r="AC51" s="54">
        <v>-10</v>
      </c>
      <c r="AD51" s="53">
        <v>-1.346</v>
      </c>
      <c r="AE51" s="54">
        <v>-22.93</v>
      </c>
      <c r="AF51" s="53">
        <v>-64.14800000000002</v>
      </c>
      <c r="AG51" s="54">
        <v>-10</v>
      </c>
      <c r="AH51" s="53">
        <v>-10</v>
      </c>
      <c r="AI51" s="64">
        <v>-10</v>
      </c>
      <c r="AJ51" s="54"/>
      <c r="AK51" s="56">
        <v>1E-13</v>
      </c>
      <c r="AL51" s="47">
        <v>1E-13</v>
      </c>
      <c r="AM51" s="46">
        <v>1E-13</v>
      </c>
      <c r="AN51" s="47">
        <v>8.729713683881114E-06</v>
      </c>
      <c r="AO51" s="46">
        <v>1.5100801541641543E-39</v>
      </c>
      <c r="AP51" s="47">
        <v>5.821032177708967E-47</v>
      </c>
      <c r="AQ51" s="46">
        <v>1E-13</v>
      </c>
      <c r="AR51" s="47">
        <v>1E-13</v>
      </c>
      <c r="AS51" s="46">
        <v>1E-13</v>
      </c>
      <c r="AT51" s="47">
        <v>4.5081670454146E-05</v>
      </c>
      <c r="AU51" s="46">
        <v>1.1748975549395447E-26</v>
      </c>
      <c r="AV51" s="47">
        <v>7.112135136532757E-68</v>
      </c>
      <c r="AW51" s="46">
        <v>1E-13</v>
      </c>
      <c r="AX51" s="47">
        <v>1E-13</v>
      </c>
      <c r="AY51" s="57">
        <v>1E-13</v>
      </c>
      <c r="AZ51" s="46"/>
      <c r="BA51" s="58">
        <v>63.95178887624334</v>
      </c>
      <c r="BB51" s="59">
        <v>51.97353401221134</v>
      </c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</row>
    <row r="52" spans="2:69" ht="12.75">
      <c r="B52" s="60">
        <v>820</v>
      </c>
      <c r="C52" s="61">
        <v>2.522525E-06</v>
      </c>
      <c r="D52" s="61">
        <v>9.1093E-07</v>
      </c>
      <c r="E52" s="62">
        <v>0</v>
      </c>
      <c r="F52" s="61">
        <v>2.79531E-06</v>
      </c>
      <c r="G52" s="62">
        <v>1.12809E-06</v>
      </c>
      <c r="H52" s="61">
        <v>0</v>
      </c>
      <c r="I52" s="46">
        <v>257.946357151761</v>
      </c>
      <c r="J52" s="48">
        <v>0</v>
      </c>
      <c r="K52" s="63">
        <v>0</v>
      </c>
      <c r="L52" s="48">
        <v>70.81215987387132</v>
      </c>
      <c r="M52" s="63">
        <v>100</v>
      </c>
      <c r="N52" s="48">
        <v>0</v>
      </c>
      <c r="O52" s="48">
        <v>0</v>
      </c>
      <c r="P52" s="63">
        <v>0</v>
      </c>
      <c r="Q52" s="47">
        <v>77.64231731257847</v>
      </c>
      <c r="R52" s="63">
        <v>58.9</v>
      </c>
      <c r="S52" s="48">
        <v>-9.3</v>
      </c>
      <c r="T52" s="63">
        <v>6.1</v>
      </c>
      <c r="U52" s="82">
        <v>-10</v>
      </c>
      <c r="V52" s="53">
        <v>-10</v>
      </c>
      <c r="W52" s="54">
        <v>-10</v>
      </c>
      <c r="X52" s="53">
        <v>-2.4589999999999996</v>
      </c>
      <c r="Y52" s="54">
        <v>-37.521</v>
      </c>
      <c r="Z52" s="53">
        <v>-44.635</v>
      </c>
      <c r="AA52" s="54">
        <v>-10</v>
      </c>
      <c r="AB52" s="53">
        <v>-10</v>
      </c>
      <c r="AC52" s="54">
        <v>-10</v>
      </c>
      <c r="AD52" s="53">
        <v>-1.746</v>
      </c>
      <c r="AE52" s="54">
        <v>-24.13</v>
      </c>
      <c r="AF52" s="53">
        <v>-66.34800000000003</v>
      </c>
      <c r="AG52" s="54">
        <v>-10</v>
      </c>
      <c r="AH52" s="53">
        <v>-10</v>
      </c>
      <c r="AI52" s="64">
        <v>-10</v>
      </c>
      <c r="AJ52" s="54"/>
      <c r="AK52" s="56">
        <v>1E-13</v>
      </c>
      <c r="AL52" s="47">
        <v>1E-13</v>
      </c>
      <c r="AM52" s="46">
        <v>1E-13</v>
      </c>
      <c r="AN52" s="47">
        <v>3.475361614432059E-06</v>
      </c>
      <c r="AO52" s="46">
        <v>3.013006024186097E-41</v>
      </c>
      <c r="AP52" s="47">
        <v>2.3173946499685773E-48</v>
      </c>
      <c r="AQ52" s="46">
        <v>1E-13</v>
      </c>
      <c r="AR52" s="47">
        <v>1E-13</v>
      </c>
      <c r="AS52" s="46">
        <v>1E-13</v>
      </c>
      <c r="AT52" s="47">
        <v>1.7947336268325267E-05</v>
      </c>
      <c r="AU52" s="46">
        <v>7.4131024130092505E-28</v>
      </c>
      <c r="AV52" s="47">
        <v>4.487453899330952E-70</v>
      </c>
      <c r="AW52" s="46">
        <v>1E-13</v>
      </c>
      <c r="AX52" s="47">
        <v>1E-13</v>
      </c>
      <c r="AY52" s="57">
        <v>1E-13</v>
      </c>
      <c r="AZ52" s="46"/>
      <c r="BA52" s="58">
        <v>70.81215987387132</v>
      </c>
      <c r="BB52" s="59">
        <v>57.4568529083635</v>
      </c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</row>
    <row r="53" spans="2:69" ht="13.5" thickBot="1">
      <c r="B53" s="104">
        <v>830</v>
      </c>
      <c r="C53" s="105">
        <v>1.251141E-06</v>
      </c>
      <c r="D53" s="105">
        <v>4.5181E-07</v>
      </c>
      <c r="E53" s="106">
        <v>0</v>
      </c>
      <c r="F53" s="105">
        <v>1.55314E-06</v>
      </c>
      <c r="G53" s="106">
        <v>6.297E-07</v>
      </c>
      <c r="H53" s="105">
        <v>0</v>
      </c>
      <c r="I53" s="107">
        <v>261.47264130129435</v>
      </c>
      <c r="J53" s="108">
        <v>0</v>
      </c>
      <c r="K53" s="109">
        <v>0</v>
      </c>
      <c r="L53" s="108">
        <v>74.47902029497976</v>
      </c>
      <c r="M53" s="109">
        <v>100</v>
      </c>
      <c r="N53" s="108">
        <v>0</v>
      </c>
      <c r="O53" s="108">
        <v>0</v>
      </c>
      <c r="P53" s="109">
        <v>0</v>
      </c>
      <c r="Q53" s="107">
        <v>76.33401180711986</v>
      </c>
      <c r="R53" s="109">
        <v>61.9</v>
      </c>
      <c r="S53" s="108">
        <v>-9.8</v>
      </c>
      <c r="T53" s="109">
        <v>6.5</v>
      </c>
      <c r="U53" s="110">
        <v>-10</v>
      </c>
      <c r="V53" s="111">
        <v>-10</v>
      </c>
      <c r="W53" s="112">
        <v>-10</v>
      </c>
      <c r="X53" s="111">
        <v>-2.8589999999999995</v>
      </c>
      <c r="Y53" s="112">
        <v>-39.221000000000004</v>
      </c>
      <c r="Z53" s="111">
        <v>-46.035</v>
      </c>
      <c r="AA53" s="112">
        <v>-10</v>
      </c>
      <c r="AB53" s="111">
        <v>-10</v>
      </c>
      <c r="AC53" s="112">
        <v>-10</v>
      </c>
      <c r="AD53" s="111">
        <v>-2.146</v>
      </c>
      <c r="AE53" s="112">
        <v>-25.33</v>
      </c>
      <c r="AF53" s="111">
        <v>-68.54800000000003</v>
      </c>
      <c r="AG53" s="112">
        <v>-10</v>
      </c>
      <c r="AH53" s="111">
        <v>-10</v>
      </c>
      <c r="AI53" s="113">
        <v>-10</v>
      </c>
      <c r="AJ53" s="54"/>
      <c r="AK53" s="114">
        <v>1E-13</v>
      </c>
      <c r="AL53" s="107">
        <v>1E-13</v>
      </c>
      <c r="AM53" s="115">
        <v>1E-13</v>
      </c>
      <c r="AN53" s="107">
        <v>1.3835663789717816E-06</v>
      </c>
      <c r="AO53" s="115">
        <v>6.011737374832659E-43</v>
      </c>
      <c r="AP53" s="107">
        <v>9.225714271548017E-50</v>
      </c>
      <c r="AQ53" s="115">
        <v>1E-13</v>
      </c>
      <c r="AR53" s="107">
        <v>1E-13</v>
      </c>
      <c r="AS53" s="115">
        <v>1E-13</v>
      </c>
      <c r="AT53" s="107">
        <v>7.1449632607551285E-06</v>
      </c>
      <c r="AU53" s="115">
        <v>4.67735141287205E-29</v>
      </c>
      <c r="AV53" s="107">
        <v>2.831391995799125E-72</v>
      </c>
      <c r="AW53" s="115">
        <v>1E-13</v>
      </c>
      <c r="AX53" s="107">
        <v>1E-13</v>
      </c>
      <c r="AY53" s="116">
        <v>1E-13</v>
      </c>
      <c r="AZ53" s="46"/>
      <c r="BA53" s="117">
        <v>74.47902029497976</v>
      </c>
      <c r="BB53" s="118">
        <v>60.3296637360835</v>
      </c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</row>
  </sheetData>
  <mergeCells count="19">
    <mergeCell ref="BD20:BE20"/>
    <mergeCell ref="BD29:BE29"/>
    <mergeCell ref="BD38:BE38"/>
    <mergeCell ref="BD2:BE2"/>
    <mergeCell ref="BH2:BP2"/>
    <mergeCell ref="BD10:BE10"/>
    <mergeCell ref="BD16:BE16"/>
    <mergeCell ref="AQ2:AS2"/>
    <mergeCell ref="AT2:AV2"/>
    <mergeCell ref="AW2:AY2"/>
    <mergeCell ref="BA2:BB2"/>
    <mergeCell ref="AA2:AC2"/>
    <mergeCell ref="AD2:AF2"/>
    <mergeCell ref="AG2:AI2"/>
    <mergeCell ref="AN2:AP2"/>
    <mergeCell ref="C2:H2"/>
    <mergeCell ref="I2:Q2"/>
    <mergeCell ref="R2:T2"/>
    <mergeCell ref="X2:Z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big_brother</dc:creator>
  <cp:keywords/>
  <dc:description/>
  <cp:lastModifiedBy>big_brother</cp:lastModifiedBy>
  <dcterms:created xsi:type="dcterms:W3CDTF">2011-10-24T18:46:28Z</dcterms:created>
  <dcterms:modified xsi:type="dcterms:W3CDTF">2011-10-24T18:52:43Z</dcterms:modified>
  <cp:category/>
  <cp:version/>
  <cp:contentType/>
  <cp:contentStatus/>
</cp:coreProperties>
</file>