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2775" yWindow="225" windowWidth="1680" windowHeight="18120" activeTab="0"/>
  </bookViews>
  <sheets>
    <sheet name="Data" sheetId="1" r:id="rId1"/>
    <sheet name="References" sheetId="2" r:id="rId2"/>
  </sheets>
  <definedNames>
    <definedName name="Blackbody">'References'!$Q$4:$Q$102</definedName>
    <definedName name="Blackbody_Temperature">'Data'!$C$6</definedName>
    <definedName name="C_X">'Data'!$H$6</definedName>
    <definedName name="C_Y">'Data'!$I$6</definedName>
    <definedName name="C_Z">'Data'!$J$6</definedName>
    <definedName name="Custom_Illuminant">'Data'!$D$10:$D$108</definedName>
    <definedName name="D50_X">'References'!$BH$21</definedName>
    <definedName name="D50_Y">'References'!$BI$21</definedName>
    <definedName name="D50_Z">'References'!$BJ$21</definedName>
    <definedName name="D65_X">'References'!$BH$22</definedName>
    <definedName name="D65_Y">'References'!$BI$22</definedName>
    <definedName name="D65_Z">'References'!$BJ$22</definedName>
    <definedName name="Den_StatusA_B">'References'!$AP$4:$AP$102</definedName>
    <definedName name="Den_StatusA_G">'References'!$AO$4:$AO$102</definedName>
    <definedName name="Den_StatusA_R">'References'!$AN$4:$AN$102</definedName>
    <definedName name="Den_StatusE_B">'References'!$AS$4:$AS$102</definedName>
    <definedName name="Den_StatusE_G">'References'!$AR$4:$AR$102</definedName>
    <definedName name="Den_StatusE_R">'References'!$AQ$4:$AQ$102</definedName>
    <definedName name="Den_StatusM_B">'References'!$AV$4:$AV$102</definedName>
    <definedName name="Den_StatusM_G">'References'!$AU$4:$AU$102</definedName>
    <definedName name="Den_StatusM_R">'References'!$AT$4:$AT$102</definedName>
    <definedName name="Den_StatusT_B">'References'!$AY$4:$AY$102</definedName>
    <definedName name="Den_StatusT_G">'References'!$AX$4:$AX$102</definedName>
    <definedName name="Den_StatusT_R">'References'!$AW$4:$AW$102</definedName>
    <definedName name="Den_Type1">'References'!$AL$4:$AL$102</definedName>
    <definedName name="Den_Type2">'References'!$AM$4:$AM$102</definedName>
    <definedName name="Den_Visual">'References'!$AK$4:$AK$102</definedName>
    <definedName name="E_X">'Data'!$H$8</definedName>
    <definedName name="E_Y">'Data'!$I$8</definedName>
    <definedName name="E_Z">'Data'!$J$8</definedName>
    <definedName name="epsilon">'References'!$BE$39</definedName>
    <definedName name="Illuminant_A">'References'!$I$4:$I$102</definedName>
    <definedName name="Illuminant_B">'References'!$J$4:$J$102</definedName>
    <definedName name="Illuminant_C">'References'!$K$4:$K$102</definedName>
    <definedName name="Illuminant_D">'References'!$L$4:$L$102</definedName>
    <definedName name="Illuminant_D_Temperature">'Data'!$C$5</definedName>
    <definedName name="Illuminant_D50">'References'!$BA$4:$BA$102</definedName>
    <definedName name="Illuminant_D65">'References'!$BB$4:$BB$102</definedName>
    <definedName name="Illuminant_E">'References'!$M$4:$M$102</definedName>
    <definedName name="Illuminant_F11">'References'!$P$4:$P$102</definedName>
    <definedName name="Illuminant_F2">'References'!$N$4:$N$102</definedName>
    <definedName name="Illuminant_F7">'References'!$O$4:$O$102</definedName>
    <definedName name="kappa">'References'!$BE$40</definedName>
    <definedName name="Sample">'Data'!$C$10:$C$108</definedName>
    <definedName name="xObs10">'References'!$F$4:$F$102</definedName>
    <definedName name="xObs2">'References'!$C$4:$C$102</definedName>
    <definedName name="yObs10">'References'!$G$4:$G$102</definedName>
    <definedName name="yObs2">'References'!$D$4:$D$102</definedName>
    <definedName name="zObs10">'References'!$H$4:$H$102</definedName>
    <definedName name="zObs2">'References'!$E$4:$E$102</definedName>
  </definedNames>
  <calcPr fullCalcOnLoad="1"/>
</workbook>
</file>

<file path=xl/sharedStrings.xml><?xml version="1.0" encoding="utf-8"?>
<sst xmlns="http://schemas.openxmlformats.org/spreadsheetml/2006/main" count="357" uniqueCount="216">
  <si>
    <t>=References!$AL$4:$AL$102</t>
  </si>
  <si>
    <t>Den_Type2</t>
  </si>
  <si>
    <t>=References!$AM$4:$AM$102</t>
  </si>
  <si>
    <t>Den_Visual</t>
  </si>
  <si>
    <t>=References!$AK$4:$AK$102</t>
  </si>
  <si>
    <t>E_X</t>
  </si>
  <si>
    <t>=Data!$H$8</t>
  </si>
  <si>
    <t>E_Y</t>
  </si>
  <si>
    <t>=Data!$I$8</t>
  </si>
  <si>
    <t>E_Z</t>
  </si>
  <si>
    <t>=Data!$J$8</t>
  </si>
  <si>
    <t>=References!$BE$39</t>
  </si>
  <si>
    <t>Illuminant_A</t>
  </si>
  <si>
    <t>=References!$I$4:$I$102</t>
  </si>
  <si>
    <t>Illuminant_B</t>
  </si>
  <si>
    <t>=References!$J$4:$J$102</t>
  </si>
  <si>
    <t>Illuminant_C</t>
  </si>
  <si>
    <t>=References!$K$4:$K$102</t>
  </si>
  <si>
    <t>Illuminant_D</t>
  </si>
  <si>
    <t>=References!$L$4:$L$102</t>
  </si>
  <si>
    <t>Illuminant_D_Temperature</t>
  </si>
  <si>
    <t>=Data!$C$5</t>
  </si>
  <si>
    <t>Illuminant_D50</t>
  </si>
  <si>
    <t>=References!$BA$4:$BA$102</t>
  </si>
  <si>
    <t>Illuminant_D65</t>
  </si>
  <si>
    <t>=References!$BB$4:$BB$102</t>
  </si>
  <si>
    <t>Illuminant_E</t>
  </si>
  <si>
    <t>=References!$M$4:$M$102</t>
  </si>
  <si>
    <t>Illuminant_F11</t>
  </si>
  <si>
    <t>=References!$P$4:$P$102</t>
  </si>
  <si>
    <t>Illuminant_F2</t>
  </si>
  <si>
    <t>=References!$N$4:$N$102</t>
  </si>
  <si>
    <t>Illuminant_F7</t>
  </si>
  <si>
    <t>=References!$O$4:$O$102</t>
  </si>
  <si>
    <t>=References!$BE$40</t>
  </si>
  <si>
    <t>=Data!$C$10:$C$108</t>
  </si>
  <si>
    <t>xObs10</t>
  </si>
  <si>
    <t>=References!$F$4:$F$102</t>
  </si>
  <si>
    <t>xObs2</t>
  </si>
  <si>
    <t>=References!$C$4:$C$102</t>
  </si>
  <si>
    <t>yObs10</t>
  </si>
  <si>
    <t>=References!$G$4:$G$102</t>
  </si>
  <si>
    <t>yObs2</t>
  </si>
  <si>
    <t>=References!$D$4:$D$102</t>
  </si>
  <si>
    <t>zObs10</t>
  </si>
  <si>
    <t>=References!$H$4:$H$102</t>
  </si>
  <si>
    <t>zObs2</t>
  </si>
  <si>
    <t>=References!$E$4:$E$102</t>
  </si>
  <si>
    <t>x2</t>
  </si>
  <si>
    <t>y2</t>
  </si>
  <si>
    <t>z2</t>
  </si>
  <si>
    <t>x10</t>
  </si>
  <si>
    <t>y10</t>
  </si>
  <si>
    <t>z10</t>
  </si>
  <si>
    <t>A</t>
  </si>
  <si>
    <t>B</t>
  </si>
  <si>
    <t>C</t>
  </si>
  <si>
    <t>E</t>
  </si>
  <si>
    <t>s0</t>
  </si>
  <si>
    <t>s1</t>
  </si>
  <si>
    <t>s2</t>
  </si>
  <si>
    <t>D</t>
  </si>
  <si>
    <t>Blackbody</t>
  </si>
  <si>
    <t>Sample</t>
  </si>
  <si>
    <t>itemp</t>
  </si>
  <si>
    <t>xx</t>
  </si>
  <si>
    <t>yy</t>
  </si>
  <si>
    <t>den</t>
  </si>
  <si>
    <t>m1</t>
  </si>
  <si>
    <t>m2</t>
  </si>
  <si>
    <t>e</t>
  </si>
  <si>
    <t>c1</t>
  </si>
  <si>
    <t>c2</t>
  </si>
  <si>
    <t>m560</t>
  </si>
  <si>
    <t>Wavelength</t>
  </si>
  <si>
    <t>Standard Observers</t>
  </si>
  <si>
    <t>Reference Illuminants</t>
  </si>
  <si>
    <t>D Illuminant Values</t>
  </si>
  <si>
    <t>Custom</t>
  </si>
  <si>
    <t>Illuminant</t>
  </si>
  <si>
    <t>Spectrum</t>
  </si>
  <si>
    <t>2-Degree</t>
  </si>
  <si>
    <t>10-Degree</t>
  </si>
  <si>
    <t>X</t>
  </si>
  <si>
    <t>Y</t>
  </si>
  <si>
    <t>Z</t>
  </si>
  <si>
    <t>x</t>
  </si>
  <si>
    <t>L</t>
  </si>
  <si>
    <t>a</t>
  </si>
  <si>
    <t>b</t>
  </si>
  <si>
    <t>u</t>
  </si>
  <si>
    <t>v</t>
  </si>
  <si>
    <t>y</t>
  </si>
  <si>
    <t>Observer</t>
  </si>
  <si>
    <t>Correlated Color</t>
  </si>
  <si>
    <t>Temperature</t>
  </si>
  <si>
    <t>C(ab)</t>
  </si>
  <si>
    <t>H(ab)</t>
  </si>
  <si>
    <t>C(uv)</t>
  </si>
  <si>
    <t>H(uv)</t>
  </si>
  <si>
    <t>D Illuminant</t>
  </si>
  <si>
    <t>(nm)</t>
  </si>
  <si>
    <t>epsilon</t>
  </si>
  <si>
    <t>kappa</t>
  </si>
  <si>
    <t>Y &lt;-&gt; L</t>
  </si>
  <si>
    <t>xr</t>
  </si>
  <si>
    <t>yr</t>
  </si>
  <si>
    <t>zr</t>
  </si>
  <si>
    <t>fx</t>
  </si>
  <si>
    <t>fy</t>
  </si>
  <si>
    <t>fz</t>
  </si>
  <si>
    <t>Xr</t>
  </si>
  <si>
    <t>Yr</t>
  </si>
  <si>
    <t>Zr</t>
  </si>
  <si>
    <t>up</t>
  </si>
  <si>
    <t>vp</t>
  </si>
  <si>
    <t>upr</t>
  </si>
  <si>
    <t>vpr</t>
  </si>
  <si>
    <t>Illuminant A</t>
  </si>
  <si>
    <t>temp</t>
  </si>
  <si>
    <t>Visual</t>
  </si>
  <si>
    <t>Type 1</t>
  </si>
  <si>
    <t>Type 2</t>
  </si>
  <si>
    <t>Red</t>
  </si>
  <si>
    <t>Green</t>
  </si>
  <si>
    <t>Blue</t>
  </si>
  <si>
    <t>Status A</t>
  </si>
  <si>
    <t>Status E</t>
  </si>
  <si>
    <t>Status M</t>
  </si>
  <si>
    <t>Status T</t>
  </si>
  <si>
    <t>Density</t>
  </si>
  <si>
    <t>-</t>
  </si>
  <si>
    <t>Adobe RGB (1998)</t>
  </si>
  <si>
    <t>Apple RGB</t>
  </si>
  <si>
    <t>Best RGB</t>
  </si>
  <si>
    <t>Beta RGB</t>
  </si>
  <si>
    <t>Bruce RGB</t>
  </si>
  <si>
    <t>CIE RGB</t>
  </si>
  <si>
    <t>ColorMatch RGB</t>
  </si>
  <si>
    <t>Don RGB 4</t>
  </si>
  <si>
    <t>ECI RGB</t>
  </si>
  <si>
    <t>Ekta Space PS5 RGB</t>
  </si>
  <si>
    <t>NTSC RGB</t>
  </si>
  <si>
    <t>PAL/SECAM RGB</t>
  </si>
  <si>
    <t>ProPhoto RGB</t>
  </si>
  <si>
    <t>SMPTE-C RGB</t>
  </si>
  <si>
    <t>sRGB</t>
  </si>
  <si>
    <t>Wide Gamut RGB</t>
  </si>
  <si>
    <t>Working Space</t>
  </si>
  <si>
    <t>XYZ-to-RGB Matrix</t>
  </si>
  <si>
    <t>D50</t>
  </si>
  <si>
    <t>D65</t>
  </si>
  <si>
    <t>D50 Illuminant</t>
  </si>
  <si>
    <t>D65 Illuminant</t>
  </si>
  <si>
    <t>Range = [0.0, 1.0]</t>
  </si>
  <si>
    <t>Range = [0, 255]</t>
  </si>
  <si>
    <t>Working</t>
  </si>
  <si>
    <t>Space</t>
  </si>
  <si>
    <t>red</t>
  </si>
  <si>
    <t>green</t>
  </si>
  <si>
    <t>blue</t>
  </si>
  <si>
    <t>Linear</t>
  </si>
  <si>
    <t>Reference</t>
  </si>
  <si>
    <t>Gamma</t>
  </si>
  <si>
    <t>F2</t>
  </si>
  <si>
    <t>F7</t>
  </si>
  <si>
    <t>F11</t>
  </si>
  <si>
    <t>ECI RGB v2</t>
  </si>
  <si>
    <t>=References!$Q$4:$Q$102</t>
  </si>
  <si>
    <t>Blackbody_Temperature</t>
  </si>
  <si>
    <t>=Data!$C$6</t>
  </si>
  <si>
    <t>C_X</t>
  </si>
  <si>
    <t>=Data!$H$6</t>
  </si>
  <si>
    <t>C_Y</t>
  </si>
  <si>
    <t>=Data!$I$6</t>
  </si>
  <si>
    <t>C_Z</t>
  </si>
  <si>
    <t>=Data!$J$6</t>
  </si>
  <si>
    <t>Custom_Illuminant</t>
  </si>
  <si>
    <t>=Data!$D$10:$D$108</t>
  </si>
  <si>
    <t>D50_X</t>
  </si>
  <si>
    <t>=References!$BH$21</t>
  </si>
  <si>
    <t>D50_Y</t>
  </si>
  <si>
    <t>=References!$BI$21</t>
  </si>
  <si>
    <t>D50_Z</t>
  </si>
  <si>
    <t>=References!$BJ$21</t>
  </si>
  <si>
    <t>D65_X</t>
  </si>
  <si>
    <t>=References!$BH$22</t>
  </si>
  <si>
    <t>D65_Y</t>
  </si>
  <si>
    <t>=References!$BI$22</t>
  </si>
  <si>
    <t>D65_Z</t>
  </si>
  <si>
    <t>=References!$BJ$22</t>
  </si>
  <si>
    <t>Den_StatusA_B</t>
  </si>
  <si>
    <t>=References!$AP$4:$AP$102</t>
  </si>
  <si>
    <t>Den_StatusA_G</t>
  </si>
  <si>
    <t>=References!$AO$4:$AO$102</t>
  </si>
  <si>
    <t>Den_StatusA_R</t>
  </si>
  <si>
    <t>=References!$AN$4:$AN$102</t>
  </si>
  <si>
    <t>Den_StatusE_B</t>
  </si>
  <si>
    <t>=References!$AS$4:$AS$102</t>
  </si>
  <si>
    <t>Den_StatusE_G</t>
  </si>
  <si>
    <t>=References!$AR$4:$AR$102</t>
  </si>
  <si>
    <t>Den_StatusE_R</t>
  </si>
  <si>
    <t>=References!$AQ$4:$AQ$102</t>
  </si>
  <si>
    <t>Den_StatusM_B</t>
  </si>
  <si>
    <t>=References!$AV$4:$AV$102</t>
  </si>
  <si>
    <t>Den_StatusM_G</t>
  </si>
  <si>
    <t>=References!$AU$4:$AU$102</t>
  </si>
  <si>
    <t>Den_StatusM_R</t>
  </si>
  <si>
    <t>=References!$AT$4:$AT$102</t>
  </si>
  <si>
    <t>Den_StatusT_B</t>
  </si>
  <si>
    <t>=References!$AY$4:$AY$102</t>
  </si>
  <si>
    <t>Den_StatusT_G</t>
  </si>
  <si>
    <t>=References!$AX$4:$AX$102</t>
  </si>
  <si>
    <t>Den_StatusT_R</t>
  </si>
  <si>
    <t>=References!$AW$4:$AW$102</t>
  </si>
  <si>
    <t>Den_Type1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</si>
</sst>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???&quot;#,##0_);\(&quot;???&quot;#,##0\)"/>
    <numFmt numFmtId="165" formatCode="&quot;???&quot;#,##0_);[Red]\(&quot;???&quot;#,##0\)"/>
    <numFmt numFmtId="166" formatCode="&quot;???&quot;#,##0.00_);\(&quot;???&quot;#,##0.00\)"/>
    <numFmt numFmtId="167" formatCode="&quot;???&quot;#,##0.00_);[Red]\(&quot;???&quot;#,##0.00\)"/>
    <numFmt numFmtId="168" formatCode="_(&quot;???&quot;* #,##0_);_(&quot;???&quot;* \(#,##0\);_(&quot;???&quot;* &quot;-&quot;_);_(@_)"/>
    <numFmt numFmtId="169" formatCode="_(* #,##0_);_(* \(#,##0\);_(* &quot;-&quot;_);_(@_)"/>
    <numFmt numFmtId="170" formatCode="_(&quot;???&quot;* #,##0.00_);_(&quot;???&quot;* \(#,##0.00\);_(&quot;???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"/>
    <numFmt numFmtId="179" formatCode="0.000000000000"/>
    <numFmt numFmtId="180" formatCode="0.0000"/>
    <numFmt numFmtId="181" formatCode="0.000"/>
    <numFmt numFmtId="182" formatCode="0.000000"/>
    <numFmt numFmtId="183" formatCode="0.0000000"/>
    <numFmt numFmtId="184" formatCode="0.00000000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179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2" fontId="1" fillId="2" borderId="3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179" fontId="1" fillId="2" borderId="10" xfId="0" applyNumberFormat="1" applyFont="1" applyFill="1" applyBorder="1" applyAlignment="1" applyProtection="1">
      <alignment horizontal="center"/>
      <protection hidden="1"/>
    </xf>
    <xf numFmtId="179" fontId="1" fillId="2" borderId="11" xfId="0" applyNumberFormat="1" applyFont="1" applyFill="1" applyBorder="1" applyAlignment="1" applyProtection="1">
      <alignment horizontal="center"/>
      <protection hidden="1"/>
    </xf>
    <xf numFmtId="179" fontId="1" fillId="2" borderId="12" xfId="0" applyNumberFormat="1" applyFont="1" applyFill="1" applyBorder="1" applyAlignment="1" applyProtection="1">
      <alignment horizontal="center"/>
      <protection hidden="1"/>
    </xf>
    <xf numFmtId="179" fontId="1" fillId="2" borderId="13" xfId="0" applyNumberFormat="1" applyFont="1" applyFill="1" applyBorder="1" applyAlignment="1" applyProtection="1">
      <alignment horizontal="center"/>
      <protection hidden="1"/>
    </xf>
    <xf numFmtId="178" fontId="1" fillId="2" borderId="12" xfId="0" applyNumberFormat="1" applyFont="1" applyFill="1" applyBorder="1" applyAlignment="1" applyProtection="1">
      <alignment horizontal="center"/>
      <protection hidden="1"/>
    </xf>
    <xf numFmtId="2" fontId="1" fillId="2" borderId="11" xfId="0" applyNumberFormat="1" applyFont="1" applyFill="1" applyBorder="1" applyAlignment="1" applyProtection="1">
      <alignment horizontal="center"/>
      <protection hidden="1"/>
    </xf>
    <xf numFmtId="2" fontId="1" fillId="2" borderId="12" xfId="0" applyNumberFormat="1" applyFont="1" applyFill="1" applyBorder="1" applyAlignment="1" applyProtection="1">
      <alignment horizontal="center"/>
      <protection hidden="1"/>
    </xf>
    <xf numFmtId="2" fontId="1" fillId="2" borderId="10" xfId="0" applyNumberFormat="1" applyFont="1" applyFill="1" applyBorder="1" applyAlignment="1" applyProtection="1">
      <alignment horizontal="center"/>
      <protection hidden="1"/>
    </xf>
    <xf numFmtId="2" fontId="1" fillId="2" borderId="9" xfId="0" applyNumberFormat="1" applyFont="1" applyFill="1" applyBorder="1" applyAlignment="1" applyProtection="1">
      <alignment horizontal="center"/>
      <protection hidden="1"/>
    </xf>
    <xf numFmtId="2" fontId="1" fillId="2" borderId="14" xfId="0" applyNumberFormat="1" applyFont="1" applyFill="1" applyBorder="1" applyAlignment="1" applyProtection="1">
      <alignment horizontal="center"/>
      <protection hidden="1"/>
    </xf>
    <xf numFmtId="2" fontId="1" fillId="2" borderId="15" xfId="0" applyNumberFormat="1" applyFont="1" applyFill="1" applyBorder="1" applyAlignment="1" applyProtection="1">
      <alignment horizontal="center"/>
      <protection hidden="1"/>
    </xf>
    <xf numFmtId="2" fontId="1" fillId="2" borderId="16" xfId="0" applyNumberFormat="1" applyFont="1" applyFill="1" applyBorder="1" applyAlignment="1" applyProtection="1">
      <alignment horizontal="center"/>
      <protection hidden="1"/>
    </xf>
    <xf numFmtId="2" fontId="1" fillId="2" borderId="1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left"/>
      <protection hidden="1"/>
    </xf>
    <xf numFmtId="182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179" fontId="0" fillId="0" borderId="22" xfId="0" applyNumberFormat="1" applyFont="1" applyFill="1" applyBorder="1" applyAlignment="1" applyProtection="1">
      <alignment horizontal="center"/>
      <protection hidden="1"/>
    </xf>
    <xf numFmtId="179" fontId="0" fillId="0" borderId="23" xfId="0" applyNumberFormat="1" applyFont="1" applyFill="1" applyBorder="1" applyAlignment="1" applyProtection="1">
      <alignment horizontal="center"/>
      <protection hidden="1"/>
    </xf>
    <xf numFmtId="179" fontId="0" fillId="0" borderId="0" xfId="0" applyNumberFormat="1" applyFont="1" applyFill="1" applyBorder="1" applyAlignment="1" applyProtection="1">
      <alignment horizontal="center"/>
      <protection hidden="1"/>
    </xf>
    <xf numFmtId="179" fontId="0" fillId="0" borderId="2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23" xfId="0" applyNumberFormat="1" applyFont="1" applyFill="1" applyBorder="1" applyAlignment="1" applyProtection="1">
      <alignment horizontal="right"/>
      <protection hidden="1"/>
    </xf>
    <xf numFmtId="181" fontId="0" fillId="0" borderId="18" xfId="0" applyNumberFormat="1" applyFont="1" applyFill="1" applyBorder="1" applyAlignment="1" applyProtection="1">
      <alignment horizontal="right"/>
      <protection hidden="1"/>
    </xf>
    <xf numFmtId="181" fontId="0" fillId="0" borderId="23" xfId="0" applyNumberFormat="1" applyFont="1" applyFill="1" applyBorder="1" applyAlignment="1" applyProtection="1">
      <alignment horizontal="right"/>
      <protection hidden="1"/>
    </xf>
    <xf numFmtId="181" fontId="0" fillId="0" borderId="0" xfId="0" applyNumberFormat="1" applyFont="1" applyFill="1" applyBorder="1" applyAlignment="1" applyProtection="1">
      <alignment horizontal="right"/>
      <protection hidden="1"/>
    </xf>
    <xf numFmtId="181" fontId="0" fillId="0" borderId="0" xfId="0" applyNumberFormat="1" applyBorder="1" applyAlignment="1" applyProtection="1">
      <alignment/>
      <protection hidden="1"/>
    </xf>
    <xf numFmtId="181" fontId="0" fillId="0" borderId="23" xfId="0" applyNumberFormat="1" applyBorder="1" applyAlignment="1" applyProtection="1">
      <alignment/>
      <protection hidden="1"/>
    </xf>
    <xf numFmtId="2" fontId="0" fillId="0" borderId="2" xfId="0" applyNumberFormat="1" applyFont="1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center"/>
      <protection hidden="1"/>
    </xf>
    <xf numFmtId="179" fontId="0" fillId="0" borderId="23" xfId="0" applyNumberFormat="1" applyBorder="1" applyAlignment="1" applyProtection="1">
      <alignment/>
      <protection hidden="1"/>
    </xf>
    <xf numFmtId="179" fontId="0" fillId="0" borderId="0" xfId="0" applyNumberFormat="1" applyBorder="1" applyAlignment="1" applyProtection="1">
      <alignment/>
      <protection hidden="1"/>
    </xf>
    <xf numFmtId="2" fontId="0" fillId="0" borderId="23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1" fontId="0" fillId="0" borderId="19" xfId="0" applyNumberFormat="1" applyBorder="1" applyAlignment="1" applyProtection="1">
      <alignment/>
      <protection hidden="1"/>
    </xf>
    <xf numFmtId="11" fontId="0" fillId="0" borderId="15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179" fontId="0" fillId="0" borderId="25" xfId="0" applyNumberFormat="1" applyBorder="1" applyAlignment="1" applyProtection="1">
      <alignment/>
      <protection hidden="1"/>
    </xf>
    <xf numFmtId="179" fontId="0" fillId="0" borderId="26" xfId="0" applyNumberFormat="1" applyBorder="1" applyAlignment="1" applyProtection="1">
      <alignment/>
      <protection hidden="1"/>
    </xf>
    <xf numFmtId="2" fontId="0" fillId="0" borderId="25" xfId="0" applyNumberFormat="1" applyFont="1" applyFill="1" applyBorder="1" applyAlignment="1" applyProtection="1">
      <alignment horizontal="right"/>
      <protection hidden="1"/>
    </xf>
    <xf numFmtId="2" fontId="0" fillId="0" borderId="25" xfId="0" applyNumberFormat="1" applyBorder="1" applyAlignment="1" applyProtection="1">
      <alignment/>
      <protection hidden="1"/>
    </xf>
    <xf numFmtId="2" fontId="0" fillId="0" borderId="26" xfId="0" applyNumberFormat="1" applyBorder="1" applyAlignment="1" applyProtection="1">
      <alignment/>
      <protection hidden="1"/>
    </xf>
    <xf numFmtId="181" fontId="0" fillId="0" borderId="24" xfId="0" applyNumberFormat="1" applyFont="1" applyFill="1" applyBorder="1" applyAlignment="1" applyProtection="1">
      <alignment horizontal="right"/>
      <protection hidden="1"/>
    </xf>
    <xf numFmtId="181" fontId="0" fillId="0" borderId="25" xfId="0" applyNumberFormat="1" applyBorder="1" applyAlignment="1" applyProtection="1">
      <alignment/>
      <protection hidden="1"/>
    </xf>
    <xf numFmtId="181" fontId="0" fillId="0" borderId="26" xfId="0" applyNumberFormat="1" applyBorder="1" applyAlignment="1" applyProtection="1">
      <alignment/>
      <protection hidden="1"/>
    </xf>
    <xf numFmtId="181" fontId="0" fillId="0" borderId="18" xfId="0" applyNumberFormat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left"/>
      <protection hidden="1"/>
    </xf>
    <xf numFmtId="182" fontId="0" fillId="0" borderId="12" xfId="0" applyNumberForma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11" fontId="0" fillId="0" borderId="0" xfId="0" applyNumberFormat="1" applyAlignment="1" applyProtection="1">
      <alignment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83" fontId="0" fillId="0" borderId="0" xfId="0" applyNumberFormat="1" applyBorder="1" applyAlignment="1" applyProtection="1">
      <alignment/>
      <protection hidden="1"/>
    </xf>
    <xf numFmtId="183" fontId="0" fillId="0" borderId="19" xfId="0" applyNumberFormat="1" applyBorder="1" applyAlignment="1" applyProtection="1">
      <alignment/>
      <protection hidden="1"/>
    </xf>
    <xf numFmtId="0" fontId="0" fillId="0" borderId="27" xfId="0" applyBorder="1" applyAlignment="1" applyProtection="1">
      <alignment horizontal="center"/>
      <protection hidden="1"/>
    </xf>
    <xf numFmtId="183" fontId="0" fillId="0" borderId="12" xfId="0" applyNumberFormat="1" applyBorder="1" applyAlignment="1" applyProtection="1">
      <alignment/>
      <protection hidden="1"/>
    </xf>
    <xf numFmtId="183" fontId="0" fillId="0" borderId="15" xfId="0" applyNumberFormat="1" applyBorder="1" applyAlignment="1" applyProtection="1">
      <alignment/>
      <protection hidden="1"/>
    </xf>
    <xf numFmtId="181" fontId="0" fillId="0" borderId="24" xfId="0" applyNumberForma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9" xfId="0" applyBorder="1" applyAlignment="1" applyProtection="1">
      <alignment horizontal="center"/>
      <protection hidden="1"/>
    </xf>
    <xf numFmtId="179" fontId="0" fillId="0" borderId="14" xfId="0" applyNumberFormat="1" applyBorder="1" applyAlignment="1" applyProtection="1">
      <alignment/>
      <protection hidden="1"/>
    </xf>
    <xf numFmtId="179" fontId="0" fillId="0" borderId="12" xfId="0" applyNumberFormat="1" applyBorder="1" applyAlignment="1" applyProtection="1">
      <alignment/>
      <protection hidden="1"/>
    </xf>
    <xf numFmtId="2" fontId="0" fillId="0" borderId="14" xfId="0" applyNumberFormat="1" applyFont="1" applyFill="1" applyBorder="1" applyAlignment="1" applyProtection="1">
      <alignment horizontal="right"/>
      <protection hidden="1"/>
    </xf>
    <xf numFmtId="2" fontId="0" fillId="0" borderId="14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181" fontId="0" fillId="0" borderId="9" xfId="0" applyNumberFormat="1" applyBorder="1" applyAlignment="1" applyProtection="1">
      <alignment/>
      <protection hidden="1"/>
    </xf>
    <xf numFmtId="181" fontId="0" fillId="0" borderId="14" xfId="0" applyNumberFormat="1" applyBorder="1" applyAlignment="1" applyProtection="1">
      <alignment/>
      <protection hidden="1"/>
    </xf>
    <xf numFmtId="181" fontId="0" fillId="0" borderId="12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80" fontId="0" fillId="0" borderId="18" xfId="0" applyNumberFormat="1" applyBorder="1" applyAlignment="1" applyProtection="1">
      <alignment horizontal="center"/>
      <protection hidden="1"/>
    </xf>
    <xf numFmtId="180" fontId="0" fillId="0" borderId="23" xfId="0" applyNumberForma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180" fontId="0" fillId="0" borderId="24" xfId="0" applyNumberFormat="1" applyBorder="1" applyAlignment="1" applyProtection="1">
      <alignment horizontal="center"/>
      <protection hidden="1"/>
    </xf>
    <xf numFmtId="180" fontId="0" fillId="0" borderId="25" xfId="0" applyNumberFormat="1" applyBorder="1" applyAlignment="1" applyProtection="1">
      <alignment horizontal="center"/>
      <protection hidden="1"/>
    </xf>
    <xf numFmtId="180" fontId="0" fillId="0" borderId="9" xfId="0" applyNumberFormat="1" applyBorder="1" applyAlignment="1" applyProtection="1">
      <alignment horizontal="center"/>
      <protection hidden="1"/>
    </xf>
    <xf numFmtId="180" fontId="0" fillId="0" borderId="14" xfId="0" applyNumberFormat="1" applyBorder="1" applyAlignment="1" applyProtection="1">
      <alignment horizontal="center"/>
      <protection hidden="1"/>
    </xf>
    <xf numFmtId="179" fontId="1" fillId="2" borderId="2" xfId="0" applyNumberFormat="1" applyFont="1" applyFill="1" applyBorder="1" applyAlignment="1" applyProtection="1">
      <alignment horizontal="center"/>
      <protection hidden="1"/>
    </xf>
    <xf numFmtId="179" fontId="1" fillId="2" borderId="14" xfId="0" applyNumberFormat="1" applyFont="1" applyFill="1" applyBorder="1" applyAlignment="1" applyProtection="1">
      <alignment horizontal="center"/>
      <protection hidden="1"/>
    </xf>
    <xf numFmtId="178" fontId="1" fillId="2" borderId="10" xfId="0" applyNumberFormat="1" applyFont="1" applyFill="1" applyBorder="1" applyAlignment="1" applyProtection="1">
      <alignment horizontal="center"/>
      <protection hidden="1"/>
    </xf>
    <xf numFmtId="178" fontId="1" fillId="2" borderId="11" xfId="0" applyNumberFormat="1" applyFont="1" applyFill="1" applyBorder="1" applyAlignment="1" applyProtection="1">
      <alignment horizontal="center"/>
      <protection hidden="1"/>
    </xf>
    <xf numFmtId="179" fontId="0" fillId="0" borderId="18" xfId="0" applyNumberFormat="1" applyBorder="1" applyAlignment="1" applyProtection="1">
      <alignment horizontal="left"/>
      <protection hidden="1"/>
    </xf>
    <xf numFmtId="179" fontId="0" fillId="0" borderId="23" xfId="0" applyNumberFormat="1" applyBorder="1" applyAlignment="1" applyProtection="1">
      <alignment horizontal="center"/>
      <protection hidden="1"/>
    </xf>
    <xf numFmtId="179" fontId="0" fillId="0" borderId="24" xfId="0" applyNumberFormat="1" applyBorder="1" applyAlignment="1" applyProtection="1">
      <alignment horizontal="left"/>
      <protection hidden="1"/>
    </xf>
    <xf numFmtId="179" fontId="0" fillId="0" borderId="25" xfId="0" applyNumberForma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/>
      <protection hidden="1"/>
    </xf>
    <xf numFmtId="179" fontId="0" fillId="0" borderId="14" xfId="0" applyNumberFormat="1" applyBorder="1" applyAlignment="1" applyProtection="1">
      <alignment horizontal="center"/>
      <protection hidden="1"/>
    </xf>
    <xf numFmtId="179" fontId="1" fillId="2" borderId="4" xfId="0" applyNumberFormat="1" applyFont="1" applyFill="1" applyBorder="1" applyAlignment="1" applyProtection="1">
      <alignment horizontal="center"/>
      <protection hidden="1"/>
    </xf>
    <xf numFmtId="179" fontId="1" fillId="2" borderId="29" xfId="0" applyNumberFormat="1" applyFont="1" applyFill="1" applyBorder="1" applyAlignment="1" applyProtection="1">
      <alignment horizontal="center"/>
      <protection hidden="1"/>
    </xf>
    <xf numFmtId="179" fontId="1" fillId="2" borderId="7" xfId="0" applyNumberFormat="1" applyFont="1" applyFill="1" applyBorder="1" applyAlignment="1" applyProtection="1">
      <alignment horizontal="center"/>
      <protection hidden="1"/>
    </xf>
    <xf numFmtId="179" fontId="1" fillId="2" borderId="5" xfId="0" applyNumberFormat="1" applyFont="1" applyFill="1" applyBorder="1" applyAlignment="1" applyProtection="1">
      <alignment horizontal="center"/>
      <protection hidden="1"/>
    </xf>
    <xf numFmtId="179" fontId="0" fillId="0" borderId="18" xfId="0" applyNumberFormat="1" applyBorder="1" applyAlignment="1" applyProtection="1">
      <alignment horizontal="center"/>
      <protection hidden="1"/>
    </xf>
    <xf numFmtId="181" fontId="0" fillId="0" borderId="19" xfId="0" applyNumberFormat="1" applyBorder="1" applyAlignment="1" applyProtection="1">
      <alignment horizontal="center"/>
      <protection hidden="1"/>
    </xf>
    <xf numFmtId="181" fontId="0" fillId="0" borderId="23" xfId="0" applyNumberFormat="1" applyBorder="1" applyAlignment="1" applyProtection="1">
      <alignment horizontal="center"/>
      <protection hidden="1"/>
    </xf>
    <xf numFmtId="181" fontId="0" fillId="0" borderId="0" xfId="0" applyNumberFormat="1" applyBorder="1" applyAlignment="1" applyProtection="1">
      <alignment horizontal="center"/>
      <protection hidden="1"/>
    </xf>
    <xf numFmtId="181" fontId="0" fillId="0" borderId="14" xfId="0" applyNumberFormat="1" applyBorder="1" applyAlignment="1" applyProtection="1">
      <alignment horizontal="center"/>
      <protection hidden="1"/>
    </xf>
    <xf numFmtId="181" fontId="0" fillId="0" borderId="12" xfId="0" applyNumberFormat="1" applyBorder="1" applyAlignment="1" applyProtection="1">
      <alignment horizontal="center"/>
      <protection hidden="1"/>
    </xf>
    <xf numFmtId="2" fontId="0" fillId="0" borderId="34" xfId="0" applyNumberFormat="1" applyBorder="1" applyAlignment="1" applyProtection="1">
      <alignment/>
      <protection hidden="1"/>
    </xf>
    <xf numFmtId="2" fontId="0" fillId="0" borderId="35" xfId="0" applyNumberFormat="1" applyBorder="1" applyAlignment="1" applyProtection="1">
      <alignment/>
      <protection hidden="1"/>
    </xf>
    <xf numFmtId="179" fontId="0" fillId="0" borderId="18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 horizontal="right"/>
      <protection hidden="1"/>
    </xf>
    <xf numFmtId="184" fontId="0" fillId="0" borderId="19" xfId="0" applyNumberFormat="1" applyFont="1" applyFill="1" applyBorder="1" applyAlignment="1" applyProtection="1">
      <alignment horizontal="right"/>
      <protection hidden="1"/>
    </xf>
    <xf numFmtId="180" fontId="0" fillId="0" borderId="2" xfId="0" applyNumberFormat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hidden="1"/>
    </xf>
    <xf numFmtId="180" fontId="0" fillId="0" borderId="0" xfId="0" applyNumberFormat="1" applyFont="1" applyFill="1" applyBorder="1" applyAlignment="1" applyProtection="1">
      <alignment horizontal="right"/>
      <protection hidden="1"/>
    </xf>
    <xf numFmtId="180" fontId="0" fillId="0" borderId="23" xfId="0" applyNumberFormat="1" applyBorder="1" applyAlignment="1" applyProtection="1">
      <alignment/>
      <protection hidden="1"/>
    </xf>
    <xf numFmtId="180" fontId="0" fillId="0" borderId="19" xfId="0" applyNumberFormat="1" applyFont="1" applyFill="1" applyBorder="1" applyAlignment="1" applyProtection="1">
      <alignment horizontal="right"/>
      <protection hidden="1"/>
    </xf>
    <xf numFmtId="180" fontId="0" fillId="0" borderId="19" xfId="0" applyNumberFormat="1" applyBorder="1" applyAlignment="1" applyProtection="1">
      <alignment/>
      <protection hidden="1"/>
    </xf>
    <xf numFmtId="180" fontId="0" fillId="0" borderId="25" xfId="0" applyNumberFormat="1" applyBorder="1" applyAlignment="1" applyProtection="1">
      <alignment/>
      <protection hidden="1"/>
    </xf>
    <xf numFmtId="180" fontId="0" fillId="0" borderId="26" xfId="0" applyNumberFormat="1" applyBorder="1" applyAlignment="1" applyProtection="1">
      <alignment/>
      <protection hidden="1"/>
    </xf>
    <xf numFmtId="180" fontId="0" fillId="0" borderId="36" xfId="0" applyNumberFormat="1" applyBorder="1" applyAlignment="1" applyProtection="1">
      <alignment/>
      <protection hidden="1"/>
    </xf>
    <xf numFmtId="180" fontId="0" fillId="0" borderId="14" xfId="0" applyNumberFormat="1" applyBorder="1" applyAlignment="1" applyProtection="1">
      <alignment/>
      <protection hidden="1"/>
    </xf>
    <xf numFmtId="180" fontId="0" fillId="0" borderId="12" xfId="0" applyNumberFormat="1" applyBorder="1" applyAlignment="1" applyProtection="1">
      <alignment/>
      <protection hidden="1"/>
    </xf>
    <xf numFmtId="180" fontId="0" fillId="0" borderId="15" xfId="0" applyNumberFormat="1" applyBorder="1" applyAlignment="1" applyProtection="1">
      <alignment/>
      <protection hidden="1"/>
    </xf>
    <xf numFmtId="184" fontId="0" fillId="0" borderId="18" xfId="0" applyNumberFormat="1" applyFont="1" applyFill="1" applyBorder="1" applyAlignment="1" applyProtection="1">
      <alignment horizontal="right"/>
      <protection hidden="1"/>
    </xf>
    <xf numFmtId="184" fontId="0" fillId="0" borderId="2" xfId="0" applyNumberFormat="1" applyFont="1" applyFill="1" applyBorder="1" applyAlignment="1" applyProtection="1">
      <alignment horizontal="right"/>
      <protection hidden="1"/>
    </xf>
    <xf numFmtId="184" fontId="0" fillId="0" borderId="23" xfId="0" applyNumberFormat="1" applyFont="1" applyFill="1" applyBorder="1" applyAlignment="1" applyProtection="1">
      <alignment horizontal="right"/>
      <protection hidden="1"/>
    </xf>
    <xf numFmtId="184" fontId="0" fillId="0" borderId="24" xfId="0" applyNumberFormat="1" applyFont="1" applyFill="1" applyBorder="1" applyAlignment="1" applyProtection="1">
      <alignment horizontal="right"/>
      <protection hidden="1"/>
    </xf>
    <xf numFmtId="184" fontId="0" fillId="0" borderId="25" xfId="0" applyNumberFormat="1" applyFont="1" applyFill="1" applyBorder="1" applyAlignment="1" applyProtection="1">
      <alignment horizontal="right"/>
      <protection hidden="1"/>
    </xf>
    <xf numFmtId="184" fontId="0" fillId="0" borderId="26" xfId="0" applyNumberFormat="1" applyFont="1" applyFill="1" applyBorder="1" applyAlignment="1" applyProtection="1">
      <alignment horizontal="right"/>
      <protection hidden="1"/>
    </xf>
    <xf numFmtId="184" fontId="0" fillId="0" borderId="36" xfId="0" applyNumberFormat="1" applyFont="1" applyFill="1" applyBorder="1" applyAlignment="1" applyProtection="1">
      <alignment horizontal="right"/>
      <protection hidden="1"/>
    </xf>
    <xf numFmtId="184" fontId="0" fillId="0" borderId="9" xfId="0" applyNumberFormat="1" applyFont="1" applyFill="1" applyBorder="1" applyAlignment="1" applyProtection="1">
      <alignment horizontal="right"/>
      <protection hidden="1"/>
    </xf>
    <xf numFmtId="184" fontId="0" fillId="0" borderId="14" xfId="0" applyNumberFormat="1" applyFont="1" applyFill="1" applyBorder="1" applyAlignment="1" applyProtection="1">
      <alignment horizontal="right"/>
      <protection hidden="1"/>
    </xf>
    <xf numFmtId="184" fontId="0" fillId="0" borderId="12" xfId="0" applyNumberFormat="1" applyFont="1" applyFill="1" applyBorder="1" applyAlignment="1" applyProtection="1">
      <alignment horizontal="right"/>
      <protection hidden="1"/>
    </xf>
    <xf numFmtId="184" fontId="0" fillId="0" borderId="15" xfId="0" applyNumberFormat="1" applyFont="1" applyFill="1" applyBorder="1" applyAlignment="1" applyProtection="1">
      <alignment horizontal="right"/>
      <protection hidden="1"/>
    </xf>
    <xf numFmtId="184" fontId="0" fillId="0" borderId="20" xfId="0" applyNumberFormat="1" applyBorder="1" applyAlignment="1" applyProtection="1">
      <alignment/>
      <protection hidden="1"/>
    </xf>
    <xf numFmtId="184" fontId="0" fillId="0" borderId="21" xfId="0" applyNumberFormat="1" applyBorder="1" applyAlignment="1" applyProtection="1">
      <alignment/>
      <protection hidden="1"/>
    </xf>
    <xf numFmtId="184" fontId="0" fillId="0" borderId="37" xfId="0" applyNumberFormat="1" applyBorder="1" applyAlignment="1" applyProtection="1">
      <alignment/>
      <protection hidden="1"/>
    </xf>
    <xf numFmtId="184" fontId="0" fillId="0" borderId="38" xfId="0" applyNumberFormat="1" applyBorder="1" applyAlignment="1" applyProtection="1">
      <alignment/>
      <protection hidden="1"/>
    </xf>
    <xf numFmtId="184" fontId="0" fillId="0" borderId="27" xfId="0" applyNumberFormat="1" applyBorder="1" applyAlignment="1" applyProtection="1">
      <alignment/>
      <protection hidden="1"/>
    </xf>
    <xf numFmtId="184" fontId="0" fillId="0" borderId="28" xfId="0" applyNumberFormat="1" applyBorder="1" applyAlignment="1" applyProtection="1">
      <alignment/>
      <protection hidden="1"/>
    </xf>
    <xf numFmtId="179" fontId="1" fillId="2" borderId="9" xfId="0" applyNumberFormat="1" applyFont="1" applyFill="1" applyBorder="1" applyAlignment="1" applyProtection="1">
      <alignment horizontal="center"/>
      <protection hidden="1"/>
    </xf>
    <xf numFmtId="179" fontId="1" fillId="2" borderId="35" xfId="0" applyNumberFormat="1" applyFont="1" applyFill="1" applyBorder="1" applyAlignment="1" applyProtection="1">
      <alignment horizontal="center"/>
      <protection hidden="1"/>
    </xf>
    <xf numFmtId="179" fontId="1" fillId="2" borderId="39" xfId="0" applyNumberFormat="1" applyFont="1" applyFill="1" applyBorder="1" applyAlignment="1" applyProtection="1">
      <alignment horizontal="center"/>
      <protection hidden="1"/>
    </xf>
    <xf numFmtId="179" fontId="1" fillId="2" borderId="40" xfId="0" applyNumberFormat="1" applyFont="1" applyFill="1" applyBorder="1" applyAlignment="1" applyProtection="1">
      <alignment horizontal="center"/>
      <protection hidden="1"/>
    </xf>
    <xf numFmtId="179" fontId="1" fillId="2" borderId="41" xfId="0" applyNumberFormat="1" applyFont="1" applyFill="1" applyBorder="1" applyAlignment="1" applyProtection="1">
      <alignment horizontal="center"/>
      <protection hidden="1"/>
    </xf>
    <xf numFmtId="178" fontId="1" fillId="2" borderId="39" xfId="0" applyNumberFormat="1" applyFont="1" applyFill="1" applyBorder="1" applyAlignment="1" applyProtection="1">
      <alignment horizontal="center"/>
      <protection hidden="1"/>
    </xf>
    <xf numFmtId="178" fontId="1" fillId="2" borderId="40" xfId="0" applyNumberFormat="1" applyFont="1" applyFill="1" applyBorder="1" applyAlignment="1" applyProtection="1">
      <alignment horizontal="center"/>
      <protection hidden="1"/>
    </xf>
    <xf numFmtId="178" fontId="1" fillId="2" borderId="42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179" fontId="1" fillId="2" borderId="1" xfId="0" applyNumberFormat="1" applyFont="1" applyFill="1" applyBorder="1" applyAlignment="1" applyProtection="1">
      <alignment horizontal="center"/>
      <protection hidden="1"/>
    </xf>
    <xf numFmtId="179" fontId="1" fillId="2" borderId="43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2" fontId="1" fillId="2" borderId="39" xfId="0" applyNumberFormat="1" applyFont="1" applyFill="1" applyBorder="1" applyAlignment="1" applyProtection="1">
      <alignment horizontal="center"/>
      <protection hidden="1"/>
    </xf>
    <xf numFmtId="2" fontId="1" fillId="2" borderId="40" xfId="0" applyNumberFormat="1" applyFont="1" applyFill="1" applyBorder="1" applyAlignment="1" applyProtection="1">
      <alignment horizontal="center"/>
      <protection hidden="1"/>
    </xf>
    <xf numFmtId="2" fontId="1" fillId="2" borderId="42" xfId="0" applyNumberFormat="1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2" fontId="1" fillId="2" borderId="30" xfId="0" applyNumberFormat="1" applyFont="1" applyFill="1" applyBorder="1" applyAlignment="1" applyProtection="1">
      <alignment horizontal="center"/>
      <protection hidden="1"/>
    </xf>
    <xf numFmtId="178" fontId="1" fillId="2" borderId="41" xfId="0" applyNumberFormat="1" applyFont="1" applyFill="1" applyBorder="1" applyAlignment="1" applyProtection="1">
      <alignment horizontal="center"/>
      <protection hidden="1"/>
    </xf>
    <xf numFmtId="180" fontId="0" fillId="3" borderId="23" xfId="0" applyNumberFormat="1" applyFont="1" applyFill="1" applyBorder="1" applyAlignment="1" applyProtection="1">
      <alignment horizontal="center"/>
      <protection hidden="1" locked="0"/>
    </xf>
    <xf numFmtId="180" fontId="0" fillId="3" borderId="19" xfId="0" applyNumberFormat="1" applyFont="1" applyFill="1" applyBorder="1" applyAlignment="1" applyProtection="1">
      <alignment horizontal="center"/>
      <protection hidden="1" locked="0"/>
    </xf>
    <xf numFmtId="180" fontId="0" fillId="3" borderId="23" xfId="0" applyNumberFormat="1" applyFill="1" applyBorder="1" applyAlignment="1" applyProtection="1">
      <alignment horizontal="center"/>
      <protection hidden="1" locked="0"/>
    </xf>
    <xf numFmtId="180" fontId="0" fillId="3" borderId="19" xfId="0" applyNumberFormat="1" applyFill="1" applyBorder="1" applyAlignment="1" applyProtection="1">
      <alignment horizontal="center"/>
      <protection hidden="1" locked="0"/>
    </xf>
    <xf numFmtId="180" fontId="0" fillId="3" borderId="25" xfId="0" applyNumberFormat="1" applyFill="1" applyBorder="1" applyAlignment="1" applyProtection="1">
      <alignment horizontal="center"/>
      <protection hidden="1" locked="0"/>
    </xf>
    <xf numFmtId="180" fontId="0" fillId="3" borderId="36" xfId="0" applyNumberFormat="1" applyFill="1" applyBorder="1" applyAlignment="1" applyProtection="1">
      <alignment horizontal="center"/>
      <protection hidden="1" locked="0"/>
    </xf>
    <xf numFmtId="180" fontId="0" fillId="3" borderId="44" xfId="0" applyNumberFormat="1" applyFill="1" applyBorder="1" applyAlignment="1" applyProtection="1">
      <alignment horizontal="center"/>
      <protection hidden="1" locked="0"/>
    </xf>
    <xf numFmtId="180" fontId="0" fillId="3" borderId="14" xfId="0" applyNumberFormat="1" applyFill="1" applyBorder="1" applyAlignment="1" applyProtection="1">
      <alignment horizontal="center"/>
      <protection hidden="1" locked="0"/>
    </xf>
    <xf numFmtId="180" fontId="0" fillId="3" borderId="15" xfId="0" applyNumberFormat="1" applyFill="1" applyBorder="1" applyAlignment="1" applyProtection="1">
      <alignment horizontal="center"/>
      <protection hidden="1" locked="0"/>
    </xf>
    <xf numFmtId="0" fontId="0" fillId="3" borderId="42" xfId="0" applyFill="1" applyBorder="1" applyAlignment="1" applyProtection="1">
      <alignment horizontal="center"/>
      <protection hidden="1" locked="0"/>
    </xf>
    <xf numFmtId="0" fontId="0" fillId="3" borderId="15" xfId="0" applyFill="1" applyBorder="1" applyAlignment="1" applyProtection="1">
      <alignment horizontal="center"/>
      <protection hidden="1" locked="0"/>
    </xf>
    <xf numFmtId="180" fontId="0" fillId="4" borderId="0" xfId="0" applyNumberFormat="1" applyFill="1" applyBorder="1" applyAlignment="1" applyProtection="1">
      <alignment horizontal="center"/>
      <protection hidden="1"/>
    </xf>
    <xf numFmtId="180" fontId="0" fillId="4" borderId="23" xfId="0" applyNumberFormat="1" applyFill="1" applyBorder="1" applyAlignment="1" applyProtection="1">
      <alignment horizontal="center"/>
      <protection hidden="1"/>
    </xf>
    <xf numFmtId="2" fontId="0" fillId="4" borderId="23" xfId="0" applyNumberForma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2" fontId="0" fillId="4" borderId="19" xfId="0" applyNumberFormat="1" applyFill="1" applyBorder="1" applyAlignment="1" applyProtection="1">
      <alignment horizontal="center"/>
      <protection hidden="1"/>
    </xf>
    <xf numFmtId="180" fontId="0" fillId="4" borderId="45" xfId="0" applyNumberFormat="1" applyFill="1" applyBorder="1" applyAlignment="1" applyProtection="1">
      <alignment horizontal="center"/>
      <protection hidden="1"/>
    </xf>
    <xf numFmtId="180" fontId="0" fillId="4" borderId="25" xfId="0" applyNumberFormat="1" applyFill="1" applyBorder="1" applyAlignment="1" applyProtection="1">
      <alignment horizontal="center"/>
      <protection hidden="1"/>
    </xf>
    <xf numFmtId="180" fontId="0" fillId="4" borderId="26" xfId="0" applyNumberFormat="1" applyFill="1" applyBorder="1" applyAlignment="1" applyProtection="1">
      <alignment horizontal="center"/>
      <protection hidden="1"/>
    </xf>
    <xf numFmtId="180" fontId="0" fillId="4" borderId="34" xfId="0" applyNumberFormat="1" applyFill="1" applyBorder="1" applyAlignment="1" applyProtection="1">
      <alignment horizontal="center"/>
      <protection hidden="1"/>
    </xf>
    <xf numFmtId="2" fontId="0" fillId="4" borderId="25" xfId="0" applyNumberFormat="1" applyFill="1" applyBorder="1" applyAlignment="1" applyProtection="1">
      <alignment horizontal="center"/>
      <protection hidden="1"/>
    </xf>
    <xf numFmtId="2" fontId="0" fillId="4" borderId="26" xfId="0" applyNumberFormat="1" applyFill="1" applyBorder="1" applyAlignment="1" applyProtection="1">
      <alignment horizontal="center"/>
      <protection hidden="1"/>
    </xf>
    <xf numFmtId="2" fontId="0" fillId="4" borderId="36" xfId="0" applyNumberFormat="1" applyFill="1" applyBorder="1" applyAlignment="1" applyProtection="1">
      <alignment horizontal="center"/>
      <protection hidden="1"/>
    </xf>
    <xf numFmtId="180" fontId="0" fillId="4" borderId="10" xfId="0" applyNumberFormat="1" applyFill="1" applyBorder="1" applyAlignment="1" applyProtection="1">
      <alignment horizontal="center"/>
      <protection hidden="1"/>
    </xf>
    <xf numFmtId="180" fontId="0" fillId="4" borderId="14" xfId="0" applyNumberFormat="1" applyFill="1" applyBorder="1" applyAlignment="1" applyProtection="1">
      <alignment horizontal="center"/>
      <protection hidden="1"/>
    </xf>
    <xf numFmtId="180" fontId="0" fillId="4" borderId="12" xfId="0" applyNumberFormat="1" applyFill="1" applyBorder="1" applyAlignment="1" applyProtection="1">
      <alignment horizontal="center"/>
      <protection hidden="1"/>
    </xf>
    <xf numFmtId="180" fontId="0" fillId="4" borderId="35" xfId="0" applyNumberFormat="1" applyFill="1" applyBorder="1" applyAlignment="1" applyProtection="1">
      <alignment horizontal="center"/>
      <protection hidden="1"/>
    </xf>
    <xf numFmtId="2" fontId="0" fillId="4" borderId="14" xfId="0" applyNumberFormat="1" applyFill="1" applyBorder="1" applyAlignment="1" applyProtection="1">
      <alignment horizontal="center"/>
      <protection hidden="1"/>
    </xf>
    <xf numFmtId="2" fontId="0" fillId="4" borderId="35" xfId="0" applyNumberFormat="1" applyFill="1" applyBorder="1" applyAlignment="1" applyProtection="1">
      <alignment horizontal="center"/>
      <protection hidden="1"/>
    </xf>
    <xf numFmtId="2" fontId="0" fillId="4" borderId="12" xfId="0" applyNumberFormat="1" applyFill="1" applyBorder="1" applyAlignment="1" applyProtection="1">
      <alignment horizontal="center"/>
      <protection hidden="1"/>
    </xf>
    <xf numFmtId="2" fontId="0" fillId="4" borderId="15" xfId="0" applyNumberFormat="1" applyFill="1" applyBorder="1" applyAlignment="1" applyProtection="1">
      <alignment horizontal="center"/>
      <protection hidden="1"/>
    </xf>
    <xf numFmtId="180" fontId="0" fillId="4" borderId="22" xfId="0" applyNumberFormat="1" applyFill="1" applyBorder="1" applyAlignment="1" applyProtection="1">
      <alignment horizontal="center"/>
      <protection hidden="1"/>
    </xf>
    <xf numFmtId="1" fontId="0" fillId="4" borderId="22" xfId="0" applyNumberFormat="1" applyFill="1" applyBorder="1" applyAlignment="1" applyProtection="1">
      <alignment horizontal="center"/>
      <protection hidden="1"/>
    </xf>
    <xf numFmtId="1" fontId="0" fillId="4" borderId="21" xfId="0" applyNumberFormat="1" applyFill="1" applyBorder="1" applyAlignment="1" applyProtection="1">
      <alignment horizontal="center"/>
      <protection hidden="1"/>
    </xf>
    <xf numFmtId="1" fontId="0" fillId="4" borderId="45" xfId="0" applyNumberFormat="1" applyFill="1" applyBorder="1" applyAlignment="1" applyProtection="1">
      <alignment horizontal="center"/>
      <protection hidden="1"/>
    </xf>
    <xf numFmtId="1" fontId="0" fillId="4" borderId="38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1" fontId="0" fillId="4" borderId="28" xfId="0" applyNumberFormat="1" applyFill="1" applyBorder="1" applyAlignment="1" applyProtection="1">
      <alignment horizontal="center"/>
      <protection hidden="1"/>
    </xf>
    <xf numFmtId="181" fontId="0" fillId="4" borderId="23" xfId="0" applyNumberFormat="1" applyFill="1" applyBorder="1" applyAlignment="1" applyProtection="1">
      <alignment horizontal="center"/>
      <protection hidden="1"/>
    </xf>
    <xf numFmtId="181" fontId="0" fillId="4" borderId="0" xfId="0" applyNumberFormat="1" applyFill="1" applyBorder="1" applyAlignment="1" applyProtection="1">
      <alignment horizontal="center"/>
      <protection hidden="1"/>
    </xf>
    <xf numFmtId="181" fontId="0" fillId="4" borderId="19" xfId="0" applyNumberFormat="1" applyFill="1" applyBorder="1" applyAlignment="1" applyProtection="1">
      <alignment horizontal="center"/>
      <protection hidden="1"/>
    </xf>
    <xf numFmtId="181" fontId="0" fillId="4" borderId="15" xfId="0" applyNumberForma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I108"/>
  <sheetViews>
    <sheetView tabSelected="1" workbookViewId="0" topLeftCell="A1">
      <selection activeCell="C5" sqref="C5"/>
    </sheetView>
  </sheetViews>
  <sheetFormatPr defaultColWidth="10.875" defaultRowHeight="12"/>
  <cols>
    <col min="1" max="1" width="3.875" style="5" customWidth="1"/>
    <col min="2" max="4" width="10.875" style="93" customWidth="1"/>
    <col min="5" max="5" width="3.875" style="2" customWidth="1"/>
    <col min="6" max="6" width="10.875" style="2" customWidth="1"/>
    <col min="7" max="7" width="14.375" style="2" customWidth="1"/>
    <col min="8" max="8" width="11.75390625" style="2" bestFit="1" customWidth="1"/>
    <col min="9" max="10" width="10.875" style="2" customWidth="1"/>
    <col min="11" max="12" width="10.875" style="3" customWidth="1"/>
    <col min="13" max="19" width="10.875" style="4" customWidth="1"/>
    <col min="20" max="22" width="10.875" style="5" customWidth="1"/>
    <col min="23" max="29" width="12.125" style="5" customWidth="1"/>
    <col min="30" max="30" width="3.00390625" style="5" customWidth="1"/>
    <col min="31" max="35" width="12.125" style="5" customWidth="1"/>
    <col min="36" max="16384" width="10.875" style="5" customWidth="1"/>
  </cols>
  <sheetData>
    <row r="1" ht="12">
      <c r="B1" s="1"/>
    </row>
    <row r="2" ht="12.75" thickBot="1"/>
    <row r="3" spans="2:35" ht="12.75" thickBot="1">
      <c r="B3" s="174" t="s">
        <v>94</v>
      </c>
      <c r="C3" s="175"/>
      <c r="E3" s="5"/>
      <c r="F3" s="11" t="s">
        <v>93</v>
      </c>
      <c r="G3" s="73" t="s">
        <v>79</v>
      </c>
      <c r="H3" s="14" t="s">
        <v>83</v>
      </c>
      <c r="I3" s="73" t="s">
        <v>84</v>
      </c>
      <c r="J3" s="14" t="s">
        <v>85</v>
      </c>
      <c r="K3" s="73" t="s">
        <v>86</v>
      </c>
      <c r="L3" s="14" t="s">
        <v>92</v>
      </c>
      <c r="M3" s="73" t="s">
        <v>87</v>
      </c>
      <c r="N3" s="73" t="s">
        <v>88</v>
      </c>
      <c r="O3" s="14" t="s">
        <v>89</v>
      </c>
      <c r="P3" s="73" t="s">
        <v>96</v>
      </c>
      <c r="Q3" s="14" t="s">
        <v>97</v>
      </c>
      <c r="R3" s="73" t="s">
        <v>90</v>
      </c>
      <c r="S3" s="14" t="s">
        <v>91</v>
      </c>
      <c r="T3" s="73" t="s">
        <v>98</v>
      </c>
      <c r="U3" s="12" t="s">
        <v>99</v>
      </c>
      <c r="W3" s="5" t="s">
        <v>105</v>
      </c>
      <c r="X3" s="5" t="s">
        <v>106</v>
      </c>
      <c r="Y3" s="5" t="s">
        <v>107</v>
      </c>
      <c r="Z3" s="5" t="s">
        <v>108</v>
      </c>
      <c r="AA3" s="5" t="s">
        <v>109</v>
      </c>
      <c r="AB3" s="5" t="s">
        <v>110</v>
      </c>
      <c r="AC3" s="5" t="s">
        <v>111</v>
      </c>
      <c r="AD3" s="5" t="s">
        <v>112</v>
      </c>
      <c r="AE3" s="5" t="s">
        <v>113</v>
      </c>
      <c r="AF3" s="5" t="s">
        <v>114</v>
      </c>
      <c r="AG3" s="5" t="s">
        <v>115</v>
      </c>
      <c r="AH3" s="5" t="s">
        <v>116</v>
      </c>
      <c r="AI3" s="5" t="s">
        <v>117</v>
      </c>
    </row>
    <row r="4" spans="2:35" s="30" customFormat="1" ht="12.75" thickBot="1">
      <c r="B4" s="176" t="s">
        <v>95</v>
      </c>
      <c r="C4" s="177"/>
      <c r="D4" s="96"/>
      <c r="F4" s="97" t="s">
        <v>81</v>
      </c>
      <c r="G4" s="98" t="s">
        <v>54</v>
      </c>
      <c r="H4" s="199">
        <f>SUMPRODUCT(Sample,xObs2,Illuminant_A)/SUMPRODUCT(yObs2,Illuminant_A)</f>
        <v>0.14462008189683376</v>
      </c>
      <c r="I4" s="200">
        <f>SUMPRODUCT(Sample,yObs2,Illuminant_A)/SUMPRODUCT(yObs2,Illuminant_A)</f>
        <v>0.10857580690651387</v>
      </c>
      <c r="J4" s="199">
        <f>SUMPRODUCT(Sample,zObs2,Illuminant_A)/SUMPRODUCT(yObs2,Illuminant_A)</f>
        <v>0.020469888110792877</v>
      </c>
      <c r="K4" s="200">
        <f>H4/(H4+I4+J4)</f>
        <v>0.528455123353647</v>
      </c>
      <c r="L4" s="199">
        <f>I4/(H4+I4+J4)</f>
        <v>0.39674601673185567</v>
      </c>
      <c r="M4" s="201">
        <f aca="true" t="shared" si="0" ref="M4:M23">116*AA4-16</f>
        <v>39.339556939460685</v>
      </c>
      <c r="N4" s="201">
        <f aca="true" t="shared" si="1" ref="N4:N23">500*(Z4-AA4)</f>
        <v>15.830487328540976</v>
      </c>
      <c r="O4" s="202">
        <f aca="true" t="shared" si="2" ref="O4:O23">200*(AA4-AB4)</f>
        <v>18.217014511102715</v>
      </c>
      <c r="P4" s="201">
        <f aca="true" t="shared" si="3" ref="P4:P23">SQRT(N4*N4+O4*O4)</f>
        <v>24.134289853998673</v>
      </c>
      <c r="Q4" s="202">
        <f aca="true" t="shared" si="4" ref="Q4:Q23">IF(ATAN2(N4,O4)&lt;0,360+(180*ATAN2(N4,O4))/PI(),(180*ATAN2(N4,O4))/PI())</f>
        <v>49.009535107399785</v>
      </c>
      <c r="R4" s="201">
        <f aca="true" t="shared" si="5" ref="R4:R23">13*M4*(AF4-AH4)</f>
        <v>30.35430781840693</v>
      </c>
      <c r="S4" s="202">
        <f aca="true" t="shared" si="6" ref="S4:S23">13*M4*(AG4-AI4)</f>
        <v>4.2652691794064435</v>
      </c>
      <c r="T4" s="201">
        <f aca="true" t="shared" si="7" ref="T4:T23">SQRT(R4*R4+S4*S4)</f>
        <v>30.652512528459958</v>
      </c>
      <c r="U4" s="203">
        <f aca="true" t="shared" si="8" ref="U4:U23">IF(ATAN2(R4,S4)&lt;0,360+(180*ATAN2(R4,S4))/PI(),(180*ATAN2(R4,S4))/PI())</f>
        <v>7.998610670430243</v>
      </c>
      <c r="V4" s="5"/>
      <c r="W4" s="5">
        <f aca="true" t="shared" si="9" ref="W4:W23">H4/AC4</f>
        <v>0.13165947274060052</v>
      </c>
      <c r="X4" s="5">
        <f aca="true" t="shared" si="10" ref="X4:X23">I4/AD4</f>
        <v>0.10857580690651387</v>
      </c>
      <c r="Y4" s="5">
        <f aca="true" t="shared" si="11" ref="Y4:Y23">J4/AE4</f>
        <v>0.05750354954193433</v>
      </c>
      <c r="Z4" s="5">
        <f aca="true" t="shared" si="12" ref="Z4:Z23">IF(W4&gt;epsilon,POWER(W4,1/3),(kappa*W4+16)/116)</f>
        <v>0.5087261206869155</v>
      </c>
      <c r="AA4" s="5">
        <f aca="true" t="shared" si="13" ref="AA4:AA23">IF(X4&gt;epsilon,POWER(X4,1/3),(kappa*X4+16)/116)</f>
        <v>0.4770651460298335</v>
      </c>
      <c r="AB4" s="5">
        <f aca="true" t="shared" si="14" ref="AB4:AB23">IF(Y4&gt;epsilon,POWER(Y4,1/3),(kappa*Y4+16)/116)</f>
        <v>0.38598007347431995</v>
      </c>
      <c r="AC4" s="5">
        <f>SUMPRODUCT(xObs2,Illuminant_A)/SUMPRODUCT(yObs2,Illuminant_A)</f>
        <v>1.0984403847778474</v>
      </c>
      <c r="AD4" s="5">
        <f>SUMPRODUCT(yObs2,Illuminant_A)/SUMPRODUCT(yObs2,Illuminant_A)</f>
        <v>1</v>
      </c>
      <c r="AE4" s="5">
        <f>SUMPRODUCT(zObs2,Illuminant_A)/SUMPRODUCT(yObs2,Illuminant_A)</f>
        <v>0.3559760792829886</v>
      </c>
      <c r="AF4" s="5">
        <f aca="true" t="shared" si="15" ref="AF4:AF23">(4*H4)/(H4+15*I4+3*J4)</f>
        <v>0.31530537963440497</v>
      </c>
      <c r="AG4" s="5">
        <f aca="true" t="shared" si="16" ref="AG4:AG23">(9*I4)/(H4+15*I4+3*J4)</f>
        <v>0.5326210926255144</v>
      </c>
      <c r="AH4" s="5">
        <f aca="true" t="shared" si="17" ref="AH4:AH23">(4*AC4)/(AC4+15*AD4+3*AE4)</f>
        <v>0.2559517179026447</v>
      </c>
      <c r="AI4" s="5">
        <f aca="true" t="shared" si="18" ref="AI4:AI23">(9*AD4)/(AC4+15*AD4+3*AE4)</f>
        <v>0.5242809471152328</v>
      </c>
    </row>
    <row r="5" spans="2:35" s="30" customFormat="1" ht="12">
      <c r="B5" s="99" t="s">
        <v>100</v>
      </c>
      <c r="C5" s="197">
        <v>5000</v>
      </c>
      <c r="D5" s="96"/>
      <c r="F5" s="97"/>
      <c r="G5" s="98" t="s">
        <v>55</v>
      </c>
      <c r="H5" s="199">
        <f>SUMPRODUCT(Sample,xObs2,Illuminant_B)/SUMPRODUCT(yObs2,Illuminant_B)</f>
        <v>0.1183884616642797</v>
      </c>
      <c r="I5" s="200">
        <f>SUMPRODUCT(Sample,yObs2,Illuminant_B)/SUMPRODUCT(yObs2,Illuminant_B)</f>
        <v>0.10025807567526512</v>
      </c>
      <c r="J5" s="199">
        <f>SUMPRODUCT(Sample,zObs2,Illuminant_B)/SUMPRODUCT(yObs2,Illuminant_B)</f>
        <v>0.048674684036278525</v>
      </c>
      <c r="K5" s="200">
        <f>H5/(H5+I5+J5)</f>
        <v>0.4428696721306647</v>
      </c>
      <c r="L5" s="199">
        <f>I5/(H5+I5+J5)</f>
        <v>0.3750472003654122</v>
      </c>
      <c r="M5" s="201">
        <f t="shared" si="0"/>
        <v>37.88870875371746</v>
      </c>
      <c r="N5" s="201">
        <f t="shared" si="1"/>
        <v>13.97831081287712</v>
      </c>
      <c r="O5" s="202">
        <f t="shared" si="2"/>
        <v>15.9189201109165</v>
      </c>
      <c r="P5" s="201">
        <f t="shared" si="3"/>
        <v>21.185022791565256</v>
      </c>
      <c r="Q5" s="202">
        <f t="shared" si="4"/>
        <v>48.713820924485155</v>
      </c>
      <c r="R5" s="201">
        <f t="shared" si="5"/>
        <v>26.66088864511852</v>
      </c>
      <c r="S5" s="202">
        <f t="shared" si="6"/>
        <v>12.372947388637948</v>
      </c>
      <c r="T5" s="201">
        <f t="shared" si="7"/>
        <v>29.39205352522025</v>
      </c>
      <c r="U5" s="203">
        <f t="shared" si="8"/>
        <v>24.895358434715973</v>
      </c>
      <c r="V5" s="5"/>
      <c r="W5" s="5">
        <f t="shared" si="9"/>
        <v>0.11946947240183328</v>
      </c>
      <c r="X5" s="5">
        <f t="shared" si="10"/>
        <v>0.10025807567526512</v>
      </c>
      <c r="Y5" s="5">
        <f t="shared" si="11"/>
        <v>0.05705027743084054</v>
      </c>
      <c r="Z5" s="5">
        <f t="shared" si="12"/>
        <v>0.49251445570952546</v>
      </c>
      <c r="AA5" s="5">
        <f t="shared" si="13"/>
        <v>0.4645578340837712</v>
      </c>
      <c r="AB5" s="5">
        <f t="shared" si="14"/>
        <v>0.3849632335291887</v>
      </c>
      <c r="AC5" s="5">
        <f>SUMPRODUCT(xObs2,Illuminant_B)/SUMPRODUCT(yObs2,Illuminant_B)</f>
        <v>0.9909515735206595</v>
      </c>
      <c r="AD5" s="5">
        <f>SUMPRODUCT(yObs2,Illuminant_B)/SUMPRODUCT(yObs2,Illuminant_B)</f>
        <v>1</v>
      </c>
      <c r="AE5" s="5">
        <f>SUMPRODUCT(zObs2,Illuminant_B)/SUMPRODUCT(yObs2,Illuminant_B)</f>
        <v>0.8531892609161215</v>
      </c>
      <c r="AF5" s="5">
        <f t="shared" si="15"/>
        <v>0.2678042331902708</v>
      </c>
      <c r="AG5" s="5">
        <f t="shared" si="16"/>
        <v>0.5102816404130799</v>
      </c>
      <c r="AH5" s="5">
        <f t="shared" si="17"/>
        <v>0.21367629757185727</v>
      </c>
      <c r="AI5" s="5">
        <f t="shared" si="18"/>
        <v>0.48516161877476005</v>
      </c>
    </row>
    <row r="6" spans="2:35" s="30" customFormat="1" ht="12.75" thickBot="1">
      <c r="B6" s="77" t="s">
        <v>62</v>
      </c>
      <c r="C6" s="198">
        <v>5000</v>
      </c>
      <c r="F6" s="97"/>
      <c r="G6" s="98" t="s">
        <v>56</v>
      </c>
      <c r="H6" s="199">
        <f>SUMPRODUCT(Sample,xObs2,Illuminant_C)/SUMPRODUCT(yObs2,Illuminant_C)</f>
        <v>0.1110440574837621</v>
      </c>
      <c r="I6" s="200">
        <f>SUMPRODUCT(Sample,yObs2,Illuminant_C)/SUMPRODUCT(yObs2,Illuminant_C)</f>
        <v>0.09725465784661623</v>
      </c>
      <c r="J6" s="199">
        <f>SUMPRODUCT(Sample,zObs2,Illuminant_C)/SUMPRODUCT(yObs2,Illuminant_C)</f>
        <v>0.06735611353961507</v>
      </c>
      <c r="K6" s="200">
        <f>H6/(H6+I6+J6)</f>
        <v>0.4028373380541562</v>
      </c>
      <c r="L6" s="199">
        <f>I6/(H6+I6+J6)</f>
        <v>0.3528131839565353</v>
      </c>
      <c r="M6" s="201">
        <f t="shared" si="0"/>
        <v>37.345131821940264</v>
      </c>
      <c r="N6" s="201">
        <f t="shared" si="1"/>
        <v>11.954376964797703</v>
      </c>
      <c r="O6" s="202">
        <f t="shared" si="2"/>
        <v>15.018240668136295</v>
      </c>
      <c r="P6" s="201">
        <f t="shared" si="3"/>
        <v>19.195173387665683</v>
      </c>
      <c r="Q6" s="202">
        <f t="shared" si="4"/>
        <v>51.480543518820525</v>
      </c>
      <c r="R6" s="201">
        <f t="shared" si="5"/>
        <v>24.16908207024109</v>
      </c>
      <c r="S6" s="202">
        <f t="shared" si="6"/>
        <v>16.06593778039683</v>
      </c>
      <c r="T6" s="201">
        <f t="shared" si="7"/>
        <v>29.021696795356945</v>
      </c>
      <c r="U6" s="203">
        <f t="shared" si="8"/>
        <v>33.61321764906735</v>
      </c>
      <c r="V6" s="5"/>
      <c r="W6" s="5">
        <f t="shared" si="9"/>
        <v>0.11322577252813633</v>
      </c>
      <c r="X6" s="5">
        <f t="shared" si="10"/>
        <v>0.09725465784661623</v>
      </c>
      <c r="Y6" s="5">
        <f t="shared" si="11"/>
        <v>0.05696912897923245</v>
      </c>
      <c r="Z6" s="5">
        <f t="shared" si="12"/>
        <v>0.4837805799808046</v>
      </c>
      <c r="AA6" s="5">
        <f t="shared" si="13"/>
        <v>0.4598718260512092</v>
      </c>
      <c r="AB6" s="5">
        <f t="shared" si="14"/>
        <v>0.3847806227105277</v>
      </c>
      <c r="AC6" s="5">
        <f>SUMPRODUCT(xObs2,Illuminant_C)/SUMPRODUCT(yObs2,Illuminant_C)</f>
        <v>0.9807312858578017</v>
      </c>
      <c r="AD6" s="5">
        <f>SUMPRODUCT(yObs2,Illuminant_C)/SUMPRODUCT(yObs2,Illuminant_C)</f>
        <v>1</v>
      </c>
      <c r="AE6" s="5">
        <f>SUMPRODUCT(zObs2,Illuminant_C)/SUMPRODUCT(yObs2,Illuminant_C)</f>
        <v>1.1823265467893864</v>
      </c>
      <c r="AF6" s="5">
        <f t="shared" si="15"/>
        <v>0.2506733685635809</v>
      </c>
      <c r="AG6" s="5">
        <f t="shared" si="16"/>
        <v>0.49397594790309385</v>
      </c>
      <c r="AH6" s="5">
        <f t="shared" si="17"/>
        <v>0.20089016875821677</v>
      </c>
      <c r="AI6" s="5">
        <f t="shared" si="18"/>
        <v>0.4608835123584755</v>
      </c>
    </row>
    <row r="7" spans="6:35" s="30" customFormat="1" ht="12.75" thickBot="1">
      <c r="F7" s="97"/>
      <c r="G7" s="98" t="s">
        <v>61</v>
      </c>
      <c r="H7" s="199">
        <f>SUMPRODUCT(Sample,xObs2,Illuminant_D)/SUMPRODUCT(yObs2,Illuminant_D)</f>
        <v>0.11495328538703636</v>
      </c>
      <c r="I7" s="200">
        <f>SUMPRODUCT(Sample,yObs2,Illuminant_D)/SUMPRODUCT(yObs2,Illuminant_D)</f>
        <v>0.0993812618226005</v>
      </c>
      <c r="J7" s="199">
        <f>SUMPRODUCT(Sample,zObs2,Illuminant_D)/SUMPRODUCT(yObs2,Illuminant_D)</f>
        <v>0.046987733723449165</v>
      </c>
      <c r="K7" s="200">
        <f>H7/(H7+I7+J7)</f>
        <v>0.4398908695293044</v>
      </c>
      <c r="L7" s="199">
        <f>I7/(H7+I7+J7)</f>
        <v>0.38030152449208104</v>
      </c>
      <c r="M7" s="201">
        <f t="shared" si="0"/>
        <v>37.731152756479226</v>
      </c>
      <c r="N7" s="201">
        <f t="shared" si="1"/>
        <v>14.481203646424856</v>
      </c>
      <c r="O7" s="202">
        <f t="shared" si="2"/>
        <v>15.680352258061426</v>
      </c>
      <c r="P7" s="201">
        <f t="shared" si="3"/>
        <v>21.34428977469432</v>
      </c>
      <c r="Q7" s="202">
        <f t="shared" si="4"/>
        <v>47.276738925672205</v>
      </c>
      <c r="R7" s="201">
        <f t="shared" si="5"/>
        <v>26.52106643660775</v>
      </c>
      <c r="S7" s="202">
        <f t="shared" si="6"/>
        <v>11.75942794727256</v>
      </c>
      <c r="T7" s="201">
        <f t="shared" si="7"/>
        <v>29.011223872530042</v>
      </c>
      <c r="U7" s="203">
        <f t="shared" si="8"/>
        <v>23.91247492937881</v>
      </c>
      <c r="V7" s="5"/>
      <c r="W7" s="5">
        <f t="shared" si="9"/>
        <v>0.11921316985974202</v>
      </c>
      <c r="X7" s="5">
        <f t="shared" si="10"/>
        <v>0.0993812618226005</v>
      </c>
      <c r="Y7" s="5">
        <f t="shared" si="11"/>
        <v>0.05697677289371996</v>
      </c>
      <c r="Z7" s="5">
        <f t="shared" si="12"/>
        <v>0.49216200002111893</v>
      </c>
      <c r="AA7" s="5">
        <f t="shared" si="13"/>
        <v>0.4631995927282692</v>
      </c>
      <c r="AB7" s="5">
        <f t="shared" si="14"/>
        <v>0.3847978314379621</v>
      </c>
      <c r="AC7" s="5">
        <f>SUMPRODUCT(xObs2,Illuminant_D)/SUMPRODUCT(yObs2,Illuminant_D)</f>
        <v>0.9642666621672963</v>
      </c>
      <c r="AD7" s="5">
        <f>SUMPRODUCT(yObs2,Illuminant_D)/SUMPRODUCT(yObs2,Illuminant_D)</f>
        <v>1</v>
      </c>
      <c r="AE7" s="5">
        <f>SUMPRODUCT(zObs2,Illuminant_D)/SUMPRODUCT(yObs2,Illuminant_D)</f>
        <v>0.8246822579982974</v>
      </c>
      <c r="AF7" s="5">
        <f t="shared" si="15"/>
        <v>0.2632565089942812</v>
      </c>
      <c r="AG7" s="5">
        <f t="shared" si="16"/>
        <v>0.5120881835368886</v>
      </c>
      <c r="AH7" s="5">
        <f t="shared" si="17"/>
        <v>0.20918760612369805</v>
      </c>
      <c r="AI7" s="5">
        <f t="shared" si="18"/>
        <v>0.4881140583253525</v>
      </c>
    </row>
    <row r="8" spans="2:35" s="30" customFormat="1" ht="12">
      <c r="B8" s="6" t="s">
        <v>74</v>
      </c>
      <c r="C8" s="100" t="s">
        <v>63</v>
      </c>
      <c r="D8" s="94" t="s">
        <v>78</v>
      </c>
      <c r="F8" s="97"/>
      <c r="G8" s="98" t="s">
        <v>57</v>
      </c>
      <c r="H8" s="199">
        <f>SUMPRODUCT(Sample,xObs2,Illuminant_E)/SUMPRODUCT(yObs2,Illuminant_E)</f>
        <v>0.11735323601214812</v>
      </c>
      <c r="I8" s="200">
        <f>SUMPRODUCT(Sample,yObs2,Illuminant_E)/SUMPRODUCT(yObs2,Illuminant_E)</f>
        <v>0.09944297161746238</v>
      </c>
      <c r="J8" s="199">
        <f>SUMPRODUCT(Sample,zObs2,Illuminant_E)/SUMPRODUCT(yObs2,Illuminant_E)</f>
        <v>0.05716842680881394</v>
      </c>
      <c r="K8" s="200">
        <f>H8/(H8+I8+J8)</f>
        <v>0.42835176975561096</v>
      </c>
      <c r="L8" s="199">
        <f>I8/(H8+I8+J8)</f>
        <v>0.3629774033473394</v>
      </c>
      <c r="M8" s="201">
        <f t="shared" si="0"/>
        <v>37.742271728334615</v>
      </c>
      <c r="N8" s="201">
        <f t="shared" si="1"/>
        <v>13.140185515593483</v>
      </c>
      <c r="O8" s="202">
        <f t="shared" si="2"/>
        <v>15.622047403198202</v>
      </c>
      <c r="P8" s="201">
        <f t="shared" si="3"/>
        <v>20.413545513995956</v>
      </c>
      <c r="Q8" s="202">
        <f t="shared" si="4"/>
        <v>49.93177459168333</v>
      </c>
      <c r="R8" s="201">
        <f t="shared" si="5"/>
        <v>26.05811659427376</v>
      </c>
      <c r="S8" s="202">
        <f t="shared" si="6"/>
        <v>14.2301494766832</v>
      </c>
      <c r="T8" s="201">
        <f t="shared" si="7"/>
        <v>29.690446183402376</v>
      </c>
      <c r="U8" s="203">
        <f t="shared" si="8"/>
        <v>28.638635441533427</v>
      </c>
      <c r="V8" s="5"/>
      <c r="W8" s="5">
        <f t="shared" si="9"/>
        <v>0.11734372538257529</v>
      </c>
      <c r="X8" s="5">
        <f t="shared" si="10"/>
        <v>0.09944297161746238</v>
      </c>
      <c r="Y8" s="5">
        <f t="shared" si="11"/>
        <v>0.05714902240113924</v>
      </c>
      <c r="Z8" s="5">
        <f t="shared" si="12"/>
        <v>0.48957581696510605</v>
      </c>
      <c r="AA8" s="5">
        <f t="shared" si="13"/>
        <v>0.4632954459339191</v>
      </c>
      <c r="AB8" s="5">
        <f t="shared" si="14"/>
        <v>0.38518520891792807</v>
      </c>
      <c r="AC8" s="5">
        <f>SUMPRODUCT(xObs2,Illuminant_E)/SUMPRODUCT(yObs2,Illuminant_E)</f>
        <v>1.0000810493236159</v>
      </c>
      <c r="AD8" s="5">
        <f>SUMPRODUCT(yObs2,Illuminant_E)/SUMPRODUCT(yObs2,Illuminant_E)</f>
        <v>1</v>
      </c>
      <c r="AE8" s="5">
        <f>SUMPRODUCT(zObs2,Illuminant_E)/SUMPRODUCT(yObs2,Illuminant_E)</f>
        <v>1.0003395405005968</v>
      </c>
      <c r="AF8" s="5">
        <f t="shared" si="15"/>
        <v>0.26364062297915214</v>
      </c>
      <c r="AG8" s="5">
        <f t="shared" si="16"/>
        <v>0.5026594726128981</v>
      </c>
      <c r="AH8" s="5">
        <f t="shared" si="17"/>
        <v>0.21053119380435786</v>
      </c>
      <c r="AI8" s="5">
        <f t="shared" si="18"/>
        <v>0.4736567964968231</v>
      </c>
    </row>
    <row r="9" spans="2:35" ht="12.75" thickBot="1">
      <c r="B9" s="16" t="s">
        <v>101</v>
      </c>
      <c r="C9" s="101" t="s">
        <v>80</v>
      </c>
      <c r="D9" s="95" t="s">
        <v>79</v>
      </c>
      <c r="E9" s="5"/>
      <c r="F9" s="133"/>
      <c r="G9" s="111" t="s">
        <v>164</v>
      </c>
      <c r="H9" s="199">
        <f>SUMPRODUCT(Sample,xObs2,Illuminant_F2)/SUMPRODUCT(yObs2,Illuminant_F2)</f>
        <v>0.11290551744726128</v>
      </c>
      <c r="I9" s="200">
        <f>SUMPRODUCT(Sample,yObs2,Illuminant_F2)/SUMPRODUCT(yObs2,Illuminant_F2)</f>
        <v>0.1012822539637021</v>
      </c>
      <c r="J9" s="199">
        <f>SUMPRODUCT(Sample,zObs2,Illuminant_F2)/SUMPRODUCT(yObs2,Illuminant_F2)</f>
        <v>0.03862908604797411</v>
      </c>
      <c r="K9" s="200">
        <f aca="true" t="shared" si="19" ref="K9:K14">H9/(H9+I9+J9)</f>
        <v>0.4465901466463698</v>
      </c>
      <c r="L9" s="199">
        <f aca="true" t="shared" si="20" ref="L9:L14">I9/(H9+I9+J9)</f>
        <v>0.40061511317595727</v>
      </c>
      <c r="M9" s="201">
        <f t="shared" si="0"/>
        <v>38.071586023954076</v>
      </c>
      <c r="N9" s="201">
        <f t="shared" si="1"/>
        <v>9.257571854115131</v>
      </c>
      <c r="O9" s="202">
        <f t="shared" si="2"/>
        <v>16.110345659513314</v>
      </c>
      <c r="P9" s="201">
        <f t="shared" si="3"/>
        <v>18.58079314515675</v>
      </c>
      <c r="Q9" s="202">
        <f t="shared" si="4"/>
        <v>60.1168082581005</v>
      </c>
      <c r="R9" s="201">
        <f t="shared" si="5"/>
        <v>18.86708429239842</v>
      </c>
      <c r="S9" s="202">
        <f t="shared" si="6"/>
        <v>10.808838860585766</v>
      </c>
      <c r="T9" s="201">
        <f t="shared" si="7"/>
        <v>21.743915636576965</v>
      </c>
      <c r="U9" s="203">
        <f t="shared" si="8"/>
        <v>29.8081352217874</v>
      </c>
      <c r="W9" s="5">
        <f t="shared" si="9"/>
        <v>0.11383696883299889</v>
      </c>
      <c r="X9" s="5">
        <f t="shared" si="10"/>
        <v>0.1012822539637021</v>
      </c>
      <c r="Y9" s="5">
        <f t="shared" si="11"/>
        <v>0.05732610004092161</v>
      </c>
      <c r="Z9" s="5">
        <f t="shared" si="12"/>
        <v>0.48464950598369644</v>
      </c>
      <c r="AA9" s="5">
        <f t="shared" si="13"/>
        <v>0.4661343622754662</v>
      </c>
      <c r="AB9" s="5">
        <f t="shared" si="14"/>
        <v>0.3855826339778996</v>
      </c>
      <c r="AC9" s="5">
        <f>SUMPRODUCT(xObs2,Illuminant_F2)/SUMPRODUCT(yObs2,Illuminant_F2)</f>
        <v>0.9918176722791692</v>
      </c>
      <c r="AD9" s="5">
        <f>SUMPRODUCT(yObs2,Illuminant_F2)/SUMPRODUCT(yObs2,Illuminant_F2)</f>
        <v>1</v>
      </c>
      <c r="AE9" s="5">
        <f>SUMPRODUCT(zObs2,Illuminant_F2)/SUMPRODUCT(yObs2,Illuminant_F2)</f>
        <v>0.6738481428249813</v>
      </c>
      <c r="AF9" s="5">
        <f t="shared" si="15"/>
        <v>0.25836109911164523</v>
      </c>
      <c r="AG9" s="5">
        <f t="shared" si="16"/>
        <v>0.5214682050438945</v>
      </c>
      <c r="AH9" s="5">
        <f t="shared" si="17"/>
        <v>0.22024043412476513</v>
      </c>
      <c r="AI9" s="5">
        <f t="shared" si="18"/>
        <v>0.4996291058637645</v>
      </c>
    </row>
    <row r="10" spans="2:35" ht="12">
      <c r="B10" s="36">
        <v>340</v>
      </c>
      <c r="C10" s="188">
        <v>0</v>
      </c>
      <c r="D10" s="189">
        <v>1</v>
      </c>
      <c r="E10" s="5"/>
      <c r="F10" s="133"/>
      <c r="G10" s="111" t="s">
        <v>165</v>
      </c>
      <c r="H10" s="199">
        <f>SUMPRODUCT(Sample,xObs2,Illuminant_F7)/SUMPRODUCT(yObs2,Illuminant_F7)</f>
        <v>0.10589416227223397</v>
      </c>
      <c r="I10" s="200">
        <f>SUMPRODUCT(Sample,yObs2,Illuminant_F7)/SUMPRODUCT(yObs2,Illuminant_F7)</f>
        <v>0.09653402386492474</v>
      </c>
      <c r="J10" s="199">
        <f>SUMPRODUCT(Sample,zObs2,Illuminant_F7)/SUMPRODUCT(yObs2,Illuminant_F7)</f>
        <v>0.06214883727661987</v>
      </c>
      <c r="K10" s="200">
        <f t="shared" si="19"/>
        <v>0.4002394497674254</v>
      </c>
      <c r="L10" s="199">
        <f t="shared" si="20"/>
        <v>0.3648617049937582</v>
      </c>
      <c r="M10" s="201">
        <f t="shared" si="0"/>
        <v>37.21304677878699</v>
      </c>
      <c r="N10" s="201">
        <f t="shared" si="1"/>
        <v>11.22997145545801</v>
      </c>
      <c r="O10" s="202">
        <f t="shared" si="2"/>
        <v>14.709633920802634</v>
      </c>
      <c r="P10" s="201">
        <f t="shared" si="3"/>
        <v>18.506366174223107</v>
      </c>
      <c r="Q10" s="202">
        <f t="shared" si="4"/>
        <v>52.64031846250353</v>
      </c>
      <c r="R10" s="201">
        <f t="shared" si="5"/>
        <v>22.018848518721413</v>
      </c>
      <c r="S10" s="202">
        <f t="shared" si="6"/>
        <v>14.889236457008703</v>
      </c>
      <c r="T10" s="201">
        <f t="shared" si="7"/>
        <v>26.580426113272097</v>
      </c>
      <c r="U10" s="203">
        <f t="shared" si="8"/>
        <v>34.06672032314227</v>
      </c>
      <c r="W10" s="5">
        <f t="shared" si="9"/>
        <v>0.11141872557271898</v>
      </c>
      <c r="X10" s="5">
        <f t="shared" si="10"/>
        <v>0.09653402386492474</v>
      </c>
      <c r="Y10" s="5">
        <f t="shared" si="11"/>
        <v>0.05714892597594229</v>
      </c>
      <c r="Z10" s="5">
        <f t="shared" si="12"/>
        <v>0.4811931047970108</v>
      </c>
      <c r="AA10" s="5">
        <f t="shared" si="13"/>
        <v>0.45873316188609475</v>
      </c>
      <c r="AB10" s="5">
        <f t="shared" si="14"/>
        <v>0.3851849922820816</v>
      </c>
      <c r="AC10" s="5">
        <f>SUMPRODUCT(xObs2,Illuminant_F7)/SUMPRODUCT(yObs2,Illuminant_F7)</f>
        <v>0.9504162045285707</v>
      </c>
      <c r="AD10" s="5">
        <f>SUMPRODUCT(yObs2,Illuminant_F7)/SUMPRODUCT(yObs2,Illuminant_F7)</f>
        <v>1</v>
      </c>
      <c r="AE10" s="5">
        <f>SUMPRODUCT(zObs2,Illuminant_F7)/SUMPRODUCT(yObs2,Illuminant_F7)</f>
        <v>1.0874891560128772</v>
      </c>
      <c r="AF10" s="5">
        <f t="shared" si="15"/>
        <v>0.24338575453003622</v>
      </c>
      <c r="AG10" s="5">
        <f t="shared" si="16"/>
        <v>0.4992132039867691</v>
      </c>
      <c r="AH10" s="5">
        <f t="shared" si="17"/>
        <v>0.19787059990075445</v>
      </c>
      <c r="AI10" s="5">
        <f t="shared" si="18"/>
        <v>0.4684356681371314</v>
      </c>
    </row>
    <row r="11" spans="2:35" ht="12">
      <c r="B11" s="36">
        <v>345</v>
      </c>
      <c r="C11" s="188">
        <v>0</v>
      </c>
      <c r="D11" s="189">
        <v>1</v>
      </c>
      <c r="E11" s="5"/>
      <c r="F11" s="133"/>
      <c r="G11" s="111" t="s">
        <v>166</v>
      </c>
      <c r="H11" s="199">
        <f>SUMPRODUCT(Sample,xObs2,Illuminant_F11)/SUMPRODUCT(yObs2,Illuminant_F11)</f>
        <v>0.12012698323565442</v>
      </c>
      <c r="I11" s="200">
        <f>SUMPRODUCT(Sample,yObs2,Illuminant_F11)/SUMPRODUCT(yObs2,Illuminant_F11)</f>
        <v>0.10087238714601166</v>
      </c>
      <c r="J11" s="199">
        <f>SUMPRODUCT(Sample,zObs2,Illuminant_F11)/SUMPRODUCT(yObs2,Illuminant_F11)</f>
        <v>0.03682956491452238</v>
      </c>
      <c r="K11" s="200">
        <f t="shared" si="19"/>
        <v>0.4659173847095753</v>
      </c>
      <c r="L11" s="199">
        <f t="shared" si="20"/>
        <v>0.391237651546486</v>
      </c>
      <c r="M11" s="201">
        <f t="shared" si="0"/>
        <v>37.998548841508295</v>
      </c>
      <c r="N11" s="201">
        <f t="shared" si="1"/>
        <v>13.167659593661341</v>
      </c>
      <c r="O11" s="202">
        <f t="shared" si="2"/>
        <v>16.03338188911836</v>
      </c>
      <c r="P11" s="201">
        <f t="shared" si="3"/>
        <v>20.747447890688875</v>
      </c>
      <c r="Q11" s="202">
        <f t="shared" si="4"/>
        <v>50.604926834806214</v>
      </c>
      <c r="R11" s="201">
        <f t="shared" si="5"/>
        <v>24.92649529303729</v>
      </c>
      <c r="S11" s="202">
        <f t="shared" si="6"/>
        <v>9.382328929626357</v>
      </c>
      <c r="T11" s="201">
        <f t="shared" si="7"/>
        <v>26.63378050028786</v>
      </c>
      <c r="U11" s="203">
        <f t="shared" si="8"/>
        <v>20.626329664013983</v>
      </c>
      <c r="W11" s="5">
        <f t="shared" si="9"/>
        <v>0.11897937176814859</v>
      </c>
      <c r="X11" s="5">
        <f t="shared" si="10"/>
        <v>0.10087238714601166</v>
      </c>
      <c r="Y11" s="5">
        <f t="shared" si="11"/>
        <v>0.057216977825547875</v>
      </c>
      <c r="Z11" s="5">
        <f t="shared" si="12"/>
        <v>0.4918400505796356</v>
      </c>
      <c r="AA11" s="5">
        <f t="shared" si="13"/>
        <v>0.4655047313923129</v>
      </c>
      <c r="AB11" s="5">
        <f t="shared" si="14"/>
        <v>0.3853378219467211</v>
      </c>
      <c r="AC11" s="5">
        <f>SUMPRODUCT(xObs2,Illuminant_F11)/SUMPRODUCT(yObs2,Illuminant_F11)</f>
        <v>1.0096454658521996</v>
      </c>
      <c r="AD11" s="5">
        <f>SUMPRODUCT(yObs2,Illuminant_F11)/SUMPRODUCT(yObs2,Illuminant_F11)</f>
        <v>1</v>
      </c>
      <c r="AE11" s="5">
        <f>SUMPRODUCT(zObs2,Illuminant_F11)/SUMPRODUCT(yObs2,Illuminant_F11)</f>
        <v>0.6436824577980009</v>
      </c>
      <c r="AF11" s="5">
        <f t="shared" si="15"/>
        <v>0.2755677717943433</v>
      </c>
      <c r="AG11" s="5">
        <f t="shared" si="16"/>
        <v>0.5206461610749327</v>
      </c>
      <c r="AH11" s="5">
        <f t="shared" si="17"/>
        <v>0.22510735229657297</v>
      </c>
      <c r="AI11" s="5">
        <f t="shared" si="18"/>
        <v>0.5016528670683237</v>
      </c>
    </row>
    <row r="12" spans="2:35" ht="12">
      <c r="B12" s="36">
        <v>350</v>
      </c>
      <c r="C12" s="188">
        <v>0</v>
      </c>
      <c r="D12" s="189">
        <v>1</v>
      </c>
      <c r="E12" s="5"/>
      <c r="F12" s="97"/>
      <c r="G12" s="98" t="s">
        <v>62</v>
      </c>
      <c r="H12" s="199">
        <f>SUMPRODUCT(Sample,xObs2,Blackbody)/SUMPRODUCT(yObs2,Blackbody)</f>
        <v>0.11661130443382203</v>
      </c>
      <c r="I12" s="200">
        <f>SUMPRODUCT(Sample,yObs2,Blackbody)/SUMPRODUCT(yObs2,Blackbody)</f>
        <v>0.0997622947332509</v>
      </c>
      <c r="J12" s="199">
        <f>SUMPRODUCT(Sample,zObs2,Blackbody)/SUMPRODUCT(yObs2,Blackbody)</f>
        <v>0.04930268010089281</v>
      </c>
      <c r="K12" s="200">
        <f t="shared" si="19"/>
        <v>0.438922529158901</v>
      </c>
      <c r="L12" s="199">
        <f t="shared" si="20"/>
        <v>0.3755032064139565</v>
      </c>
      <c r="M12" s="201">
        <f t="shared" si="0"/>
        <v>37.7997345241886</v>
      </c>
      <c r="N12" s="201">
        <f t="shared" si="1"/>
        <v>13.907826637690746</v>
      </c>
      <c r="O12" s="202">
        <f t="shared" si="2"/>
        <v>15.717435425282778</v>
      </c>
      <c r="P12" s="201">
        <f t="shared" si="3"/>
        <v>20.98726800067113</v>
      </c>
      <c r="Q12" s="202">
        <f t="shared" si="4"/>
        <v>48.495472239627865</v>
      </c>
      <c r="R12" s="201">
        <f t="shared" si="5"/>
        <v>26.26924743051541</v>
      </c>
      <c r="S12" s="202">
        <f t="shared" si="6"/>
        <v>12.382774884557405</v>
      </c>
      <c r="T12" s="201">
        <f t="shared" si="7"/>
        <v>29.041461299446798</v>
      </c>
      <c r="U12" s="203">
        <f t="shared" si="8"/>
        <v>25.238211325037256</v>
      </c>
      <c r="W12" s="5">
        <f t="shared" si="9"/>
        <v>0.11880993683407941</v>
      </c>
      <c r="X12" s="5">
        <f t="shared" si="10"/>
        <v>0.0997622947332509</v>
      </c>
      <c r="Y12" s="5">
        <f t="shared" si="11"/>
        <v>0.05715722551518879</v>
      </c>
      <c r="Z12" s="5">
        <f t="shared" si="12"/>
        <v>0.4916064681390763</v>
      </c>
      <c r="AA12" s="5">
        <f t="shared" si="13"/>
        <v>0.46379081486369483</v>
      </c>
      <c r="AB12" s="5">
        <f t="shared" si="14"/>
        <v>0.38520363773728095</v>
      </c>
      <c r="AC12" s="5">
        <f>SUMPRODUCT(xObs2,Blackbody)/SUMPRODUCT(yObs2,Blackbody)</f>
        <v>0.9814945411230391</v>
      </c>
      <c r="AD12" s="5">
        <f>SUMPRODUCT(yObs2,Blackbody)/SUMPRODUCT(yObs2,Blackbody)</f>
        <v>1</v>
      </c>
      <c r="AE12" s="5">
        <f>SUMPRODUCT(zObs2,Blackbody)/SUMPRODUCT(yObs2,Blackbody)</f>
        <v>0.862580009027752</v>
      </c>
      <c r="AF12" s="5">
        <f t="shared" si="15"/>
        <v>0.26488214898733003</v>
      </c>
      <c r="AG12" s="5">
        <f t="shared" si="16"/>
        <v>0.5098717922468383</v>
      </c>
      <c r="AH12" s="5">
        <f t="shared" si="17"/>
        <v>0.21142380156121796</v>
      </c>
      <c r="AI12" s="5">
        <f t="shared" si="18"/>
        <v>0.4846726431798939</v>
      </c>
    </row>
    <row r="13" spans="2:35" ht="12">
      <c r="B13" s="36">
        <v>355</v>
      </c>
      <c r="C13" s="188">
        <v>0</v>
      </c>
      <c r="D13" s="189">
        <v>1</v>
      </c>
      <c r="E13" s="5"/>
      <c r="F13" s="102"/>
      <c r="G13" s="103" t="s">
        <v>78</v>
      </c>
      <c r="H13" s="204">
        <f>SUMPRODUCT(Sample,xObs2,Custom_Illuminant)/SUMPRODUCT(yObs2,Custom_Illuminant)</f>
        <v>0.11735323601214802</v>
      </c>
      <c r="I13" s="205">
        <f>SUMPRODUCT(Sample,yObs2,Custom_Illuminant)/SUMPRODUCT(yObs2,Custom_Illuminant)</f>
        <v>0.09944297161746232</v>
      </c>
      <c r="J13" s="206">
        <f>SUMPRODUCT(Sample,zObs2,Custom_Illuminant)/SUMPRODUCT(yObs2,Custom_Illuminant)</f>
        <v>0.05716842680881392</v>
      </c>
      <c r="K13" s="205">
        <f t="shared" si="19"/>
        <v>0.42835176975561096</v>
      </c>
      <c r="L13" s="207">
        <f t="shared" si="20"/>
        <v>0.36297740334733947</v>
      </c>
      <c r="M13" s="208">
        <f t="shared" si="0"/>
        <v>37.74227172833461</v>
      </c>
      <c r="N13" s="208">
        <f t="shared" si="1"/>
        <v>13.140185515593428</v>
      </c>
      <c r="O13" s="208">
        <f t="shared" si="2"/>
        <v>15.62204740319818</v>
      </c>
      <c r="P13" s="208">
        <f t="shared" si="3"/>
        <v>20.413545513995906</v>
      </c>
      <c r="Q13" s="208">
        <f t="shared" si="4"/>
        <v>49.931774591683414</v>
      </c>
      <c r="R13" s="208">
        <f t="shared" si="5"/>
        <v>26.058116594273727</v>
      </c>
      <c r="S13" s="209">
        <f t="shared" si="6"/>
        <v>14.230149476683199</v>
      </c>
      <c r="T13" s="208">
        <f t="shared" si="7"/>
        <v>29.690446183402344</v>
      </c>
      <c r="U13" s="210">
        <f t="shared" si="8"/>
        <v>28.63863544153346</v>
      </c>
      <c r="W13" s="5">
        <f t="shared" si="9"/>
        <v>0.11734372538257519</v>
      </c>
      <c r="X13" s="5">
        <f t="shared" si="10"/>
        <v>0.09944297161746232</v>
      </c>
      <c r="Y13" s="5">
        <f t="shared" si="11"/>
        <v>0.05714902240113927</v>
      </c>
      <c r="Z13" s="5">
        <f t="shared" si="12"/>
        <v>0.4895758169651059</v>
      </c>
      <c r="AA13" s="5">
        <f t="shared" si="13"/>
        <v>0.463295445933919</v>
      </c>
      <c r="AB13" s="5">
        <f t="shared" si="14"/>
        <v>0.3851852089179281</v>
      </c>
      <c r="AC13" s="5">
        <f>SUMPRODUCT(xObs2,Custom_Illuminant)/SUMPRODUCT(yObs2,Custom_Illuminant)</f>
        <v>1.0000810493236159</v>
      </c>
      <c r="AD13" s="5">
        <f>SUMPRODUCT(yObs2,Custom_Illuminant)/SUMPRODUCT(yObs2,Custom_Illuminant)</f>
        <v>1</v>
      </c>
      <c r="AE13" s="5">
        <f>SUMPRODUCT(zObs2,Custom_Illuminant)/SUMPRODUCT(yObs2,Custom_Illuminant)</f>
        <v>1.000339540500596</v>
      </c>
      <c r="AF13" s="5">
        <f t="shared" si="15"/>
        <v>0.2636406229791521</v>
      </c>
      <c r="AG13" s="5">
        <f t="shared" si="16"/>
        <v>0.5026594726128981</v>
      </c>
      <c r="AH13" s="5">
        <f t="shared" si="17"/>
        <v>0.21053119380435786</v>
      </c>
      <c r="AI13" s="5">
        <f t="shared" si="18"/>
        <v>0.4736567964968231</v>
      </c>
    </row>
    <row r="14" spans="2:35" ht="12">
      <c r="B14" s="49">
        <v>360</v>
      </c>
      <c r="C14" s="190">
        <v>0</v>
      </c>
      <c r="D14" s="191">
        <v>1</v>
      </c>
      <c r="E14" s="5"/>
      <c r="F14" s="97" t="s">
        <v>82</v>
      </c>
      <c r="G14" s="98" t="s">
        <v>54</v>
      </c>
      <c r="H14" s="199">
        <f>SUMPRODUCT(Sample,xObs10,Illuminant_A)/SUMPRODUCT(yObs10,Illuminant_A)</f>
        <v>0.14323825808611648</v>
      </c>
      <c r="I14" s="200">
        <f>SUMPRODUCT(Sample,yObs10,Illuminant_A)/SUMPRODUCT(yObs10,Illuminant_A)</f>
        <v>0.10722575535692311</v>
      </c>
      <c r="J14" s="199">
        <f>SUMPRODUCT(Sample,zObs10,Illuminant_A)/SUMPRODUCT(yObs10,Illuminant_A)</f>
        <v>0.02014429474599008</v>
      </c>
      <c r="K14" s="200">
        <f t="shared" si="19"/>
        <v>0.529319513671618</v>
      </c>
      <c r="L14" s="199">
        <f t="shared" si="20"/>
        <v>0.3962397018572765</v>
      </c>
      <c r="M14" s="201">
        <f t="shared" si="0"/>
        <v>39.10923224271134</v>
      </c>
      <c r="N14" s="201">
        <f t="shared" si="1"/>
        <v>15.022574666612693</v>
      </c>
      <c r="O14" s="202">
        <f t="shared" si="2"/>
        <v>17.95225098278953</v>
      </c>
      <c r="P14" s="201">
        <f t="shared" si="3"/>
        <v>23.408568195492457</v>
      </c>
      <c r="Q14" s="202">
        <f t="shared" si="4"/>
        <v>50.07716106767566</v>
      </c>
      <c r="R14" s="201">
        <f t="shared" si="5"/>
        <v>29.103416921278086</v>
      </c>
      <c r="S14" s="202">
        <f t="shared" si="6"/>
        <v>4.231332478633598</v>
      </c>
      <c r="T14" s="201">
        <f t="shared" si="7"/>
        <v>29.40940412586551</v>
      </c>
      <c r="U14" s="203">
        <f t="shared" si="8"/>
        <v>8.272245576903774</v>
      </c>
      <c r="W14" s="5">
        <f t="shared" si="9"/>
        <v>0.12888308221870357</v>
      </c>
      <c r="X14" s="5">
        <f t="shared" si="10"/>
        <v>0.10722575535692311</v>
      </c>
      <c r="Y14" s="5">
        <f t="shared" si="11"/>
        <v>0.05720829697360818</v>
      </c>
      <c r="Z14" s="5">
        <f t="shared" si="12"/>
        <v>0.5051247376324611</v>
      </c>
      <c r="AA14" s="5">
        <f t="shared" si="13"/>
        <v>0.47507958829923574</v>
      </c>
      <c r="AB14" s="5">
        <f t="shared" si="14"/>
        <v>0.3853183333852881</v>
      </c>
      <c r="AC14" s="5">
        <f>SUMPRODUCT(xObs10,Illuminant_A)/SUMPRODUCT(yObs10,Illuminant_A)</f>
        <v>1.111381382414904</v>
      </c>
      <c r="AD14" s="5">
        <f>SUMPRODUCT(yObs10,Illuminant_A)/SUMPRODUCT(yObs10,Illuminant_A)</f>
        <v>1</v>
      </c>
      <c r="AE14" s="5">
        <f>SUMPRODUCT(zObs10,Illuminant_A)/SUMPRODUCT(yObs10,Illuminant_A)</f>
        <v>0.3521219090874741</v>
      </c>
      <c r="AF14" s="5">
        <f t="shared" si="15"/>
        <v>0.3161892163926414</v>
      </c>
      <c r="AG14" s="5">
        <f t="shared" si="16"/>
        <v>0.5325613634020914</v>
      </c>
      <c r="AH14" s="5">
        <f t="shared" si="17"/>
        <v>0.258946354536741</v>
      </c>
      <c r="AI14" s="5">
        <f t="shared" si="18"/>
        <v>0.5242388498911874</v>
      </c>
    </row>
    <row r="15" spans="2:35" ht="12">
      <c r="B15" s="49">
        <v>365</v>
      </c>
      <c r="C15" s="190">
        <v>0</v>
      </c>
      <c r="D15" s="191">
        <v>1</v>
      </c>
      <c r="E15" s="5"/>
      <c r="F15" s="97"/>
      <c r="G15" s="98" t="s">
        <v>55</v>
      </c>
      <c r="H15" s="199">
        <f>SUMPRODUCT(Sample,xObs10,Illuminant_B)/SUMPRODUCT(yObs10,Illuminant_B)</f>
        <v>0.11583931934292636</v>
      </c>
      <c r="I15" s="200">
        <f>SUMPRODUCT(Sample,yObs10,Illuminant_B)/SUMPRODUCT(yObs10,Illuminant_B)</f>
        <v>0.09793149660323232</v>
      </c>
      <c r="J15" s="199">
        <f>SUMPRODUCT(Sample,zObs10,Illuminant_B)/SUMPRODUCT(yObs10,Illuminant_B)</f>
        <v>0.04812474427766915</v>
      </c>
      <c r="K15" s="200">
        <f aca="true" t="shared" si="21" ref="K15:K23">H15/(H15+I15+J15)</f>
        <v>0.442311122967968</v>
      </c>
      <c r="L15" s="199">
        <f aca="true" t="shared" si="22" ref="L15:L23">I15/(H15+I15+J15)</f>
        <v>0.3739333974181755</v>
      </c>
      <c r="M15" s="201">
        <f t="shared" si="0"/>
        <v>37.46859674190425</v>
      </c>
      <c r="N15" s="201">
        <f t="shared" si="1"/>
        <v>13.927092595023115</v>
      </c>
      <c r="O15" s="202">
        <f t="shared" si="2"/>
        <v>15.1950915199341</v>
      </c>
      <c r="P15" s="201">
        <f t="shared" si="3"/>
        <v>20.612004134715306</v>
      </c>
      <c r="Q15" s="202">
        <f t="shared" si="4"/>
        <v>47.49312099625821</v>
      </c>
      <c r="R15" s="201">
        <f t="shared" si="5"/>
        <v>26.181193270587155</v>
      </c>
      <c r="S15" s="202">
        <f t="shared" si="6"/>
        <v>11.60170123441263</v>
      </c>
      <c r="T15" s="201">
        <f t="shared" si="7"/>
        <v>28.63659114846615</v>
      </c>
      <c r="U15" s="203">
        <f t="shared" si="8"/>
        <v>23.8996219620475</v>
      </c>
      <c r="W15" s="5">
        <f t="shared" si="9"/>
        <v>0.11677984835122718</v>
      </c>
      <c r="X15" s="5">
        <f t="shared" si="10"/>
        <v>0.09793149660323232</v>
      </c>
      <c r="Y15" s="5">
        <f t="shared" si="11"/>
        <v>0.057049160485889955</v>
      </c>
      <c r="Z15" s="5">
        <f t="shared" si="12"/>
        <v>0.48879036399956566</v>
      </c>
      <c r="AA15" s="5">
        <f t="shared" si="13"/>
        <v>0.4609361788095194</v>
      </c>
      <c r="AB15" s="5">
        <f t="shared" si="14"/>
        <v>0.3849607212098489</v>
      </c>
      <c r="AC15" s="5">
        <f>SUMPRODUCT(xObs10,Illuminant_B)/SUMPRODUCT(yObs10,Illuminant_B)</f>
        <v>0.9919461360707365</v>
      </c>
      <c r="AD15" s="5">
        <f>SUMPRODUCT(yObs10,Illuminant_B)/SUMPRODUCT(yObs10,Illuminant_B)</f>
        <v>1</v>
      </c>
      <c r="AE15" s="5">
        <f>SUMPRODUCT(zObs10,Illuminant_B)/SUMPRODUCT(yObs10,Illuminant_B)</f>
        <v>0.843566213206098</v>
      </c>
      <c r="AF15" s="5">
        <f t="shared" si="15"/>
        <v>0.2679626581776668</v>
      </c>
      <c r="AG15" s="5">
        <f t="shared" si="16"/>
        <v>0.5097100420689228</v>
      </c>
      <c r="AH15" s="5">
        <f t="shared" si="17"/>
        <v>0.21421263498453863</v>
      </c>
      <c r="AI15" s="5">
        <f t="shared" si="18"/>
        <v>0.485891734630278</v>
      </c>
    </row>
    <row r="16" spans="2:35" ht="12">
      <c r="B16" s="49">
        <v>370</v>
      </c>
      <c r="C16" s="190">
        <v>0</v>
      </c>
      <c r="D16" s="191">
        <v>1</v>
      </c>
      <c r="E16" s="5"/>
      <c r="F16" s="97"/>
      <c r="G16" s="98" t="s">
        <v>56</v>
      </c>
      <c r="H16" s="199">
        <f>SUMPRODUCT(Sample,xObs10,Illuminant_C)/SUMPRODUCT(yObs10,Illuminant_C)</f>
        <v>0.1077000418391623</v>
      </c>
      <c r="I16" s="200">
        <f>SUMPRODUCT(Sample,yObs10,Illuminant_C)/SUMPRODUCT(yObs10,Illuminant_C)</f>
        <v>0.0944829868727699</v>
      </c>
      <c r="J16" s="199">
        <f>SUMPRODUCT(Sample,zObs10,Illuminant_C)/SUMPRODUCT(yObs10,Illuminant_C)</f>
        <v>0.06626260862740839</v>
      </c>
      <c r="K16" s="200">
        <f t="shared" si="21"/>
        <v>0.4011987041645206</v>
      </c>
      <c r="L16" s="199">
        <f t="shared" si="22"/>
        <v>0.3519632049498889</v>
      </c>
      <c r="M16" s="201">
        <f t="shared" si="0"/>
        <v>36.8334771386188</v>
      </c>
      <c r="N16" s="201">
        <f t="shared" si="1"/>
        <v>12.351771122492055</v>
      </c>
      <c r="O16" s="202">
        <f t="shared" si="2"/>
        <v>14.098912777135252</v>
      </c>
      <c r="P16" s="201">
        <f t="shared" si="3"/>
        <v>18.744214877121323</v>
      </c>
      <c r="Q16" s="202">
        <f t="shared" si="4"/>
        <v>48.77905690086649</v>
      </c>
      <c r="R16" s="201">
        <f t="shared" si="5"/>
        <v>23.905836083576048</v>
      </c>
      <c r="S16" s="202">
        <f t="shared" si="6"/>
        <v>14.730552937438796</v>
      </c>
      <c r="T16" s="201">
        <f t="shared" si="7"/>
        <v>28.07985378696786</v>
      </c>
      <c r="U16" s="203">
        <f t="shared" si="8"/>
        <v>31.64098774325203</v>
      </c>
      <c r="W16" s="5">
        <f t="shared" si="9"/>
        <v>0.11070577738021432</v>
      </c>
      <c r="X16" s="5">
        <f t="shared" si="10"/>
        <v>0.0944829868727699</v>
      </c>
      <c r="Y16" s="5">
        <f t="shared" si="11"/>
        <v>0.05705170564427264</v>
      </c>
      <c r="Z16" s="5">
        <f t="shared" si="12"/>
        <v>0.4801645520606634</v>
      </c>
      <c r="AA16" s="5">
        <f t="shared" si="13"/>
        <v>0.4554610098156793</v>
      </c>
      <c r="AB16" s="5">
        <f t="shared" si="14"/>
        <v>0.384966445930003</v>
      </c>
      <c r="AC16" s="5">
        <f>SUMPRODUCT(xObs10,Illuminant_C)/SUMPRODUCT(yObs10,Illuminant_C)</f>
        <v>0.9728493344052953</v>
      </c>
      <c r="AD16" s="5">
        <f>SUMPRODUCT(yObs10,Illuminant_C)/SUMPRODUCT(yObs10,Illuminant_C)</f>
        <v>1</v>
      </c>
      <c r="AE16" s="5">
        <f>SUMPRODUCT(zObs10,Illuminant_C)/SUMPRODUCT(yObs10,Illuminant_C)</f>
        <v>1.1614483367170008</v>
      </c>
      <c r="AF16" s="5">
        <f t="shared" si="15"/>
        <v>0.24992284166284204</v>
      </c>
      <c r="AG16" s="5">
        <f t="shared" si="16"/>
        <v>0.4933171461291001</v>
      </c>
      <c r="AH16" s="5">
        <f t="shared" si="17"/>
        <v>0.19999786550468981</v>
      </c>
      <c r="AI16" s="5">
        <f t="shared" si="18"/>
        <v>0.46255384207117234</v>
      </c>
    </row>
    <row r="17" spans="2:35" ht="12">
      <c r="B17" s="49">
        <v>375</v>
      </c>
      <c r="C17" s="190">
        <v>0</v>
      </c>
      <c r="D17" s="191">
        <v>1</v>
      </c>
      <c r="E17" s="5"/>
      <c r="F17" s="97"/>
      <c r="G17" s="98" t="s">
        <v>61</v>
      </c>
      <c r="H17" s="199">
        <f>SUMPRODUCT(Sample,xObs10,Illuminant_D)/SUMPRODUCT(yObs10,Illuminant_D)</f>
        <v>0.11267356124627233</v>
      </c>
      <c r="I17" s="200">
        <f>SUMPRODUCT(Sample,yObs10,Illuminant_D)/SUMPRODUCT(yObs10,Illuminant_D)</f>
        <v>0.09712705063378704</v>
      </c>
      <c r="J17" s="199">
        <f>SUMPRODUCT(Sample,zObs10,Illuminant_D)/SUMPRODUCT(yObs10,Illuminant_D)</f>
        <v>0.04635603480824003</v>
      </c>
      <c r="K17" s="200">
        <f t="shared" si="21"/>
        <v>0.43986194659776895</v>
      </c>
      <c r="L17" s="199">
        <f t="shared" si="22"/>
        <v>0.3791705266659534</v>
      </c>
      <c r="M17" s="201">
        <f t="shared" si="0"/>
        <v>37.32179034177927</v>
      </c>
      <c r="N17" s="201">
        <f t="shared" si="1"/>
        <v>14.355768373549266</v>
      </c>
      <c r="O17" s="202">
        <f t="shared" si="2"/>
        <v>14.979411142566356</v>
      </c>
      <c r="P17" s="201">
        <f t="shared" si="3"/>
        <v>20.74779129866691</v>
      </c>
      <c r="Q17" s="202">
        <f t="shared" si="4"/>
        <v>46.21787960899626</v>
      </c>
      <c r="R17" s="201">
        <f t="shared" si="5"/>
        <v>26.003902857112205</v>
      </c>
      <c r="S17" s="202">
        <f t="shared" si="6"/>
        <v>11.011363959394492</v>
      </c>
      <c r="T17" s="201">
        <f t="shared" si="7"/>
        <v>28.239212100346926</v>
      </c>
      <c r="U17" s="203">
        <f t="shared" si="8"/>
        <v>22.95024959592862</v>
      </c>
      <c r="W17" s="5">
        <f t="shared" si="9"/>
        <v>0.11648750113771998</v>
      </c>
      <c r="X17" s="5">
        <f t="shared" si="10"/>
        <v>0.09712705063378704</v>
      </c>
      <c r="Y17" s="5">
        <f t="shared" si="11"/>
        <v>0.05696598786540907</v>
      </c>
      <c r="Z17" s="5">
        <f t="shared" si="12"/>
        <v>0.4883821431417474</v>
      </c>
      <c r="AA17" s="5">
        <f t="shared" si="13"/>
        <v>0.45967060639464885</v>
      </c>
      <c r="AB17" s="5">
        <f t="shared" si="14"/>
        <v>0.38477355068181707</v>
      </c>
      <c r="AC17" s="5">
        <f>SUMPRODUCT(xObs10,Illuminant_D)/SUMPRODUCT(yObs10,Illuminant_D)</f>
        <v>0.9672588058444267</v>
      </c>
      <c r="AD17" s="5">
        <f>SUMPRODUCT(yObs10,Illuminant_D)/SUMPRODUCT(yObs10,Illuminant_D)</f>
        <v>1</v>
      </c>
      <c r="AE17" s="5">
        <f>SUMPRODUCT(zObs10,Illuminant_D)/SUMPRODUCT(yObs10,Illuminant_D)</f>
        <v>0.8137493361435828</v>
      </c>
      <c r="AF17" s="5">
        <f t="shared" si="15"/>
        <v>0.26377252459687</v>
      </c>
      <c r="AG17" s="5">
        <f t="shared" si="16"/>
        <v>0.5115996681486948</v>
      </c>
      <c r="AH17" s="5">
        <f t="shared" si="17"/>
        <v>0.21017648321032756</v>
      </c>
      <c r="AI17" s="5">
        <f t="shared" si="18"/>
        <v>0.4889044011446276</v>
      </c>
    </row>
    <row r="18" spans="2:35" ht="12">
      <c r="B18" s="49">
        <v>380</v>
      </c>
      <c r="C18" s="190">
        <v>0</v>
      </c>
      <c r="D18" s="191">
        <v>1</v>
      </c>
      <c r="E18" s="5"/>
      <c r="F18" s="97"/>
      <c r="G18" s="98" t="s">
        <v>57</v>
      </c>
      <c r="H18" s="199">
        <f>SUMPRODUCT(Sample,xObs10,Illuminant_E)/SUMPRODUCT(yObs10,Illuminant_E)</f>
        <v>0.11457230507810393</v>
      </c>
      <c r="I18" s="200">
        <f>SUMPRODUCT(Sample,yObs10,Illuminant_E)/SUMPRODUCT(yObs10,Illuminant_E)</f>
        <v>0.09696603306253666</v>
      </c>
      <c r="J18" s="199">
        <f>SUMPRODUCT(Sample,zObs10,Illuminant_E)/SUMPRODUCT(yObs10,Illuminant_E)</f>
        <v>0.057341599322008344</v>
      </c>
      <c r="K18" s="200">
        <f t="shared" si="21"/>
        <v>0.4261095348328827</v>
      </c>
      <c r="L18" s="199">
        <f t="shared" si="22"/>
        <v>0.360629483841674</v>
      </c>
      <c r="M18" s="201">
        <f t="shared" si="0"/>
        <v>37.292308359204135</v>
      </c>
      <c r="N18" s="201">
        <f t="shared" si="1"/>
        <v>13.14618833410275</v>
      </c>
      <c r="O18" s="202">
        <f t="shared" si="2"/>
        <v>14.762296354646887</v>
      </c>
      <c r="P18" s="201">
        <f t="shared" si="3"/>
        <v>19.767338247172276</v>
      </c>
      <c r="Q18" s="202">
        <f t="shared" si="4"/>
        <v>48.31414900037133</v>
      </c>
      <c r="R18" s="201">
        <f t="shared" si="5"/>
        <v>25.558256211325332</v>
      </c>
      <c r="S18" s="202">
        <f t="shared" si="6"/>
        <v>13.35884997951548</v>
      </c>
      <c r="T18" s="201">
        <f t="shared" si="7"/>
        <v>28.838920460706408</v>
      </c>
      <c r="U18" s="203">
        <f t="shared" si="8"/>
        <v>27.595275303306277</v>
      </c>
      <c r="W18" s="5">
        <f t="shared" si="9"/>
        <v>0.114585058629844</v>
      </c>
      <c r="X18" s="5">
        <f t="shared" si="10"/>
        <v>0.09696603306253666</v>
      </c>
      <c r="Y18" s="5">
        <f t="shared" si="11"/>
        <v>0.057336062794332156</v>
      </c>
      <c r="Z18" s="5">
        <f t="shared" si="12"/>
        <v>0.48570882804065496</v>
      </c>
      <c r="AA18" s="5">
        <f t="shared" si="13"/>
        <v>0.45941645137244946</v>
      </c>
      <c r="AB18" s="5">
        <f t="shared" si="14"/>
        <v>0.38560496959921503</v>
      </c>
      <c r="AC18" s="5">
        <f>SUMPRODUCT(xObs10,Illuminant_E)/SUMPRODUCT(yObs10,Illuminant_E)</f>
        <v>0.9998886979516127</v>
      </c>
      <c r="AD18" s="5">
        <f>SUMPRODUCT(yObs10,Illuminant_E)/SUMPRODUCT(yObs10,Illuminant_E)</f>
        <v>1</v>
      </c>
      <c r="AE18" s="5">
        <f>SUMPRODUCT(zObs10,Illuminant_E)/SUMPRODUCT(yObs10,Illuminant_E)</f>
        <v>1.0000965627461385</v>
      </c>
      <c r="AF18" s="5">
        <f t="shared" si="15"/>
        <v>0.2632200818501761</v>
      </c>
      <c r="AG18" s="5">
        <f t="shared" si="16"/>
        <v>0.5012351463952748</v>
      </c>
      <c r="AH18" s="5">
        <f t="shared" si="17"/>
        <v>0.21050090743955657</v>
      </c>
      <c r="AI18" s="5">
        <f t="shared" si="18"/>
        <v>0.4736797632669335</v>
      </c>
    </row>
    <row r="19" spans="2:35" ht="12">
      <c r="B19" s="49">
        <v>385</v>
      </c>
      <c r="C19" s="190">
        <v>0</v>
      </c>
      <c r="D19" s="191">
        <v>1</v>
      </c>
      <c r="E19" s="5"/>
      <c r="F19" s="133"/>
      <c r="G19" s="111" t="s">
        <v>164</v>
      </c>
      <c r="H19" s="199">
        <f>SUMPRODUCT(Sample,xObs10,Illuminant_F2)/SUMPRODUCT(yObs10,Illuminant_F2)</f>
        <v>0.11577266932745625</v>
      </c>
      <c r="I19" s="200">
        <f>SUMPRODUCT(Sample,yObs10,Illuminant_F2)/SUMPRODUCT(yObs10,Illuminant_F2)</f>
        <v>0.09986895618091508</v>
      </c>
      <c r="J19" s="199">
        <f>SUMPRODUCT(Sample,zObs10,Illuminant_F2)/SUMPRODUCT(yObs10,Illuminant_F2)</f>
        <v>0.039525645995624414</v>
      </c>
      <c r="K19" s="200">
        <f t="shared" si="21"/>
        <v>0.45371284743954055</v>
      </c>
      <c r="L19" s="199">
        <f t="shared" si="22"/>
        <v>0.39138622908914555</v>
      </c>
      <c r="M19" s="201">
        <f t="shared" si="0"/>
        <v>37.81890112993939</v>
      </c>
      <c r="N19" s="201">
        <f t="shared" si="1"/>
        <v>9.106823446004636</v>
      </c>
      <c r="O19" s="202">
        <f t="shared" si="2"/>
        <v>15.70165733103428</v>
      </c>
      <c r="P19" s="201">
        <f t="shared" si="3"/>
        <v>18.151481378056236</v>
      </c>
      <c r="Q19" s="202">
        <f t="shared" si="4"/>
        <v>59.88664312841202</v>
      </c>
      <c r="R19" s="201">
        <f t="shared" si="5"/>
        <v>19.232806593014157</v>
      </c>
      <c r="S19" s="202">
        <f t="shared" si="6"/>
        <v>10.66412591858432</v>
      </c>
      <c r="T19" s="201">
        <f t="shared" si="7"/>
        <v>21.991462685590303</v>
      </c>
      <c r="U19" s="203">
        <f t="shared" si="8"/>
        <v>29.007308118679223</v>
      </c>
      <c r="W19" s="5">
        <f t="shared" si="9"/>
        <v>0.11209847959880347</v>
      </c>
      <c r="X19" s="5">
        <f t="shared" si="10"/>
        <v>0.09986895618091508</v>
      </c>
      <c r="Y19" s="5">
        <f t="shared" si="11"/>
        <v>0.05726596324881768</v>
      </c>
      <c r="Z19" s="5">
        <f t="shared" si="12"/>
        <v>0.4821696911156247</v>
      </c>
      <c r="AA19" s="5">
        <f t="shared" si="13"/>
        <v>0.4639560442236154</v>
      </c>
      <c r="AB19" s="5">
        <f t="shared" si="14"/>
        <v>0.385447757568444</v>
      </c>
      <c r="AC19" s="5">
        <f>SUMPRODUCT(xObs10,Illuminant_F2)/SUMPRODUCT(yObs10,Illuminant_F2)</f>
        <v>1.0327764456913473</v>
      </c>
      <c r="AD19" s="5">
        <f>SUMPRODUCT(yObs10,Illuminant_F2)/SUMPRODUCT(yObs10,Illuminant_F2)</f>
        <v>1</v>
      </c>
      <c r="AE19" s="5">
        <f>SUMPRODUCT(zObs10,Illuminant_F2)/SUMPRODUCT(yObs10,Illuminant_F2)</f>
        <v>0.6902118423100212</v>
      </c>
      <c r="AF19" s="5">
        <f t="shared" si="15"/>
        <v>0.26731411203753375</v>
      </c>
      <c r="AG19" s="5">
        <f t="shared" si="16"/>
        <v>0.518834526037764</v>
      </c>
      <c r="AH19" s="5">
        <f t="shared" si="17"/>
        <v>0.2281948722712074</v>
      </c>
      <c r="AI19" s="5">
        <f t="shared" si="18"/>
        <v>0.4971438540762978</v>
      </c>
    </row>
    <row r="20" spans="2:35" ht="12">
      <c r="B20" s="49">
        <v>390</v>
      </c>
      <c r="C20" s="190">
        <v>0</v>
      </c>
      <c r="D20" s="191">
        <v>1</v>
      </c>
      <c r="E20" s="5"/>
      <c r="F20" s="133"/>
      <c r="G20" s="111" t="s">
        <v>165</v>
      </c>
      <c r="H20" s="199">
        <f>SUMPRODUCT(Sample,xObs10,Illuminant_F7)/SUMPRODUCT(yObs10,Illuminant_F7)</f>
        <v>0.10453516518957456</v>
      </c>
      <c r="I20" s="200">
        <f>SUMPRODUCT(Sample,yObs10,Illuminant_F7)/SUMPRODUCT(yObs10,Illuminant_F7)</f>
        <v>0.09420746246263675</v>
      </c>
      <c r="J20" s="199">
        <f>SUMPRODUCT(Sample,zObs10,Illuminant_F7)/SUMPRODUCT(yObs10,Illuminant_F7)</f>
        <v>0.06154367491711349</v>
      </c>
      <c r="K20" s="200">
        <f t="shared" si="21"/>
        <v>0.40161608258941167</v>
      </c>
      <c r="L20" s="199">
        <f t="shared" si="22"/>
        <v>0.36193784126441103</v>
      </c>
      <c r="M20" s="201">
        <f t="shared" si="0"/>
        <v>36.78207075668298</v>
      </c>
      <c r="N20" s="201">
        <f t="shared" si="1"/>
        <v>11.425977532352</v>
      </c>
      <c r="O20" s="202">
        <f t="shared" si="2"/>
        <v>13.966493372007582</v>
      </c>
      <c r="P20" s="201">
        <f t="shared" si="3"/>
        <v>18.044830275736718</v>
      </c>
      <c r="Q20" s="202">
        <f t="shared" si="4"/>
        <v>50.71342759490098</v>
      </c>
      <c r="R20" s="201">
        <f t="shared" si="5"/>
        <v>21.971233247746667</v>
      </c>
      <c r="S20" s="202">
        <f t="shared" si="6"/>
        <v>13.89071193345879</v>
      </c>
      <c r="T20" s="201">
        <f t="shared" si="7"/>
        <v>25.993979465353572</v>
      </c>
      <c r="U20" s="203">
        <f t="shared" si="8"/>
        <v>32.302002573732345</v>
      </c>
      <c r="W20" s="5">
        <f t="shared" si="9"/>
        <v>0.10912613485168497</v>
      </c>
      <c r="X20" s="5">
        <f t="shared" si="10"/>
        <v>0.09420746246263675</v>
      </c>
      <c r="Y20" s="5">
        <f t="shared" si="11"/>
        <v>0.05714910054912099</v>
      </c>
      <c r="Z20" s="5">
        <f t="shared" si="12"/>
        <v>0.4778698064154193</v>
      </c>
      <c r="AA20" s="5">
        <f t="shared" si="13"/>
        <v>0.4550178513507153</v>
      </c>
      <c r="AB20" s="5">
        <f t="shared" si="14"/>
        <v>0.3851853844906774</v>
      </c>
      <c r="AC20" s="5">
        <f>SUMPRODUCT(xObs10,Illuminant_F7)/SUMPRODUCT(yObs10,Illuminant_F7)</f>
        <v>0.9579296960498962</v>
      </c>
      <c r="AD20" s="5">
        <f>SUMPRODUCT(yObs10,Illuminant_F7)/SUMPRODUCT(yObs10,Illuminant_F7)</f>
        <v>1</v>
      </c>
      <c r="AE20" s="5">
        <f>SUMPRODUCT(zObs10,Illuminant_F7)/SUMPRODUCT(yObs10,Illuminant_F7)</f>
        <v>1.076896649741937</v>
      </c>
      <c r="AF20" s="5">
        <f t="shared" si="15"/>
        <v>0.24563592409224444</v>
      </c>
      <c r="AG20" s="5">
        <f t="shared" si="16"/>
        <v>0.49807792791034783</v>
      </c>
      <c r="AH20" s="5">
        <f t="shared" si="17"/>
        <v>0.1996870465428692</v>
      </c>
      <c r="AI20" s="5">
        <f t="shared" si="18"/>
        <v>0.4690280054728077</v>
      </c>
    </row>
    <row r="21" spans="2:35" ht="12">
      <c r="B21" s="58">
        <v>395</v>
      </c>
      <c r="C21" s="192">
        <v>0</v>
      </c>
      <c r="D21" s="193">
        <v>1</v>
      </c>
      <c r="E21" s="5"/>
      <c r="F21" s="133"/>
      <c r="G21" s="111" t="s">
        <v>166</v>
      </c>
      <c r="H21" s="199">
        <f>SUMPRODUCT(Sample,xObs10,Illuminant_F11)/SUMPRODUCT(yObs10,Illuminant_F11)</f>
        <v>0.12132747247506902</v>
      </c>
      <c r="I21" s="200">
        <f>SUMPRODUCT(Sample,yObs10,Illuminant_F11)/SUMPRODUCT(yObs10,Illuminant_F11)</f>
        <v>0.09978424692363408</v>
      </c>
      <c r="J21" s="199">
        <f>SUMPRODUCT(Sample,zObs10,Illuminant_F11)/SUMPRODUCT(yObs10,Illuminant_F11)</f>
        <v>0.037481465129078795</v>
      </c>
      <c r="K21" s="200">
        <f t="shared" si="21"/>
        <v>0.469182792642527</v>
      </c>
      <c r="L21" s="199">
        <f t="shared" si="22"/>
        <v>0.3858734602996228</v>
      </c>
      <c r="M21" s="201">
        <f t="shared" si="0"/>
        <v>37.80368035496767</v>
      </c>
      <c r="N21" s="201">
        <f t="shared" si="1"/>
        <v>12.503154114011789</v>
      </c>
      <c r="O21" s="202">
        <f t="shared" si="2"/>
        <v>15.744933215730528</v>
      </c>
      <c r="P21" s="201">
        <f t="shared" si="3"/>
        <v>20.10551627704557</v>
      </c>
      <c r="Q21" s="202">
        <f t="shared" si="4"/>
        <v>51.54668178221438</v>
      </c>
      <c r="R21" s="201">
        <f t="shared" si="5"/>
        <v>24.433661589243812</v>
      </c>
      <c r="S21" s="202">
        <f t="shared" si="6"/>
        <v>9.415053412239232</v>
      </c>
      <c r="T21" s="201">
        <f t="shared" si="7"/>
        <v>26.184862982513504</v>
      </c>
      <c r="U21" s="203">
        <f t="shared" si="8"/>
        <v>21.073233044693005</v>
      </c>
      <c r="W21" s="5">
        <f t="shared" si="9"/>
        <v>0.11680907610162215</v>
      </c>
      <c r="X21" s="5">
        <f t="shared" si="10"/>
        <v>0.09978424692363408</v>
      </c>
      <c r="Y21" s="5">
        <f t="shared" si="11"/>
        <v>0.05711117726815792</v>
      </c>
      <c r="Z21" s="5">
        <f t="shared" si="12"/>
        <v>0.4888311388742966</v>
      </c>
      <c r="AA21" s="5">
        <f t="shared" si="13"/>
        <v>0.463824830646273</v>
      </c>
      <c r="AB21" s="5">
        <f t="shared" si="14"/>
        <v>0.38510016456762036</v>
      </c>
      <c r="AC21" s="5">
        <f>SUMPRODUCT(xObs10,Illuminant_F11)/SUMPRODUCT(yObs10,Illuminant_F11)</f>
        <v>1.0386818946287695</v>
      </c>
      <c r="AD21" s="5">
        <f>SUMPRODUCT(yObs10,Illuminant_F11)/SUMPRODUCT(yObs10,Illuminant_F11)</f>
        <v>1</v>
      </c>
      <c r="AE21" s="5">
        <f>SUMPRODUCT(zObs10,Illuminant_F11)/SUMPRODUCT(yObs10,Illuminant_F11)</f>
        <v>0.6562894852103919</v>
      </c>
      <c r="AF21" s="5">
        <f t="shared" si="15"/>
        <v>0.2804391298462669</v>
      </c>
      <c r="AG21" s="5">
        <f t="shared" si="16"/>
        <v>0.5189481435633062</v>
      </c>
      <c r="AH21" s="5">
        <f t="shared" si="17"/>
        <v>0.2307214194991882</v>
      </c>
      <c r="AI21" s="5">
        <f t="shared" si="18"/>
        <v>0.4997903559864311</v>
      </c>
    </row>
    <row r="22" spans="2:35" ht="12">
      <c r="B22" s="49">
        <v>400</v>
      </c>
      <c r="C22" s="194">
        <v>0.064102</v>
      </c>
      <c r="D22" s="191">
        <v>1</v>
      </c>
      <c r="E22" s="5"/>
      <c r="F22" s="97"/>
      <c r="G22" s="98" t="s">
        <v>62</v>
      </c>
      <c r="H22" s="199">
        <f>SUMPRODUCT(Sample,xObs10,Blackbody)/SUMPRODUCT(yObs10,Blackbody)</f>
        <v>0.11438750756112588</v>
      </c>
      <c r="I22" s="200">
        <f>SUMPRODUCT(Sample,yObs10,Blackbody)/SUMPRODUCT(yObs10,Blackbody)</f>
        <v>0.09748556112859466</v>
      </c>
      <c r="J22" s="199">
        <f>SUMPRODUCT(Sample,zObs10,Blackbody)/SUMPRODUCT(yObs10,Blackbody)</f>
        <v>0.049181145219318455</v>
      </c>
      <c r="K22" s="200">
        <f t="shared" si="21"/>
        <v>0.4381752964193972</v>
      </c>
      <c r="L22" s="199">
        <f t="shared" si="22"/>
        <v>0.37343032954282157</v>
      </c>
      <c r="M22" s="201">
        <f t="shared" si="0"/>
        <v>37.38731602490415</v>
      </c>
      <c r="N22" s="201">
        <f t="shared" si="1"/>
        <v>13.791493657144827</v>
      </c>
      <c r="O22" s="202">
        <f t="shared" si="2"/>
        <v>14.965944243109996</v>
      </c>
      <c r="P22" s="201">
        <f t="shared" si="3"/>
        <v>20.351530271282876</v>
      </c>
      <c r="Q22" s="202">
        <f t="shared" si="4"/>
        <v>47.33865367074162</v>
      </c>
      <c r="R22" s="201">
        <f t="shared" si="5"/>
        <v>25.775168120944187</v>
      </c>
      <c r="S22" s="202">
        <f t="shared" si="6"/>
        <v>11.66889846140407</v>
      </c>
      <c r="T22" s="201">
        <f t="shared" si="7"/>
        <v>28.293506021090703</v>
      </c>
      <c r="U22" s="203">
        <f t="shared" si="8"/>
        <v>24.357147978929433</v>
      </c>
      <c r="W22" s="5">
        <f t="shared" si="9"/>
        <v>0.11608462960177501</v>
      </c>
      <c r="X22" s="5">
        <f t="shared" si="10"/>
        <v>0.09748556112859466</v>
      </c>
      <c r="Y22" s="5">
        <f t="shared" si="11"/>
        <v>0.057247247338645994</v>
      </c>
      <c r="Z22" s="5">
        <f t="shared" si="12"/>
        <v>0.4878184702876013</v>
      </c>
      <c r="AA22" s="5">
        <f t="shared" si="13"/>
        <v>0.4602354829733116</v>
      </c>
      <c r="AB22" s="5">
        <f t="shared" si="14"/>
        <v>0.38540576175776164</v>
      </c>
      <c r="AC22" s="5">
        <f>SUMPRODUCT(xObs10,Blackbody)/SUMPRODUCT(yObs10,Blackbody)</f>
        <v>0.9853803036071954</v>
      </c>
      <c r="AD22" s="5">
        <f>SUMPRODUCT(yObs10,Blackbody)/SUMPRODUCT(yObs10,Blackbody)</f>
        <v>1</v>
      </c>
      <c r="AE22" s="5">
        <f>SUMPRODUCT(zObs10,Blackbody)/SUMPRODUCT(yObs10,Blackbody)</f>
        <v>0.8591006119191631</v>
      </c>
      <c r="AF22" s="5">
        <f t="shared" si="15"/>
        <v>0.2653672541070989</v>
      </c>
      <c r="AG22" s="5">
        <f t="shared" si="16"/>
        <v>0.5088520722458437</v>
      </c>
      <c r="AH22" s="5">
        <f t="shared" si="17"/>
        <v>0.21233575971600846</v>
      </c>
      <c r="AI22" s="5">
        <f t="shared" si="18"/>
        <v>0.48484372745435744</v>
      </c>
    </row>
    <row r="23" spans="2:35" ht="12.75" thickBot="1">
      <c r="B23" s="49">
        <v>405</v>
      </c>
      <c r="C23" s="190">
        <v>0.065014</v>
      </c>
      <c r="D23" s="191">
        <v>1</v>
      </c>
      <c r="E23" s="5"/>
      <c r="F23" s="104"/>
      <c r="G23" s="105" t="s">
        <v>78</v>
      </c>
      <c r="H23" s="211">
        <f>SUMPRODUCT(Sample,xObs10,Custom_Illuminant)/SUMPRODUCT(yObs10,Custom_Illuminant)</f>
        <v>0.11457230507810387</v>
      </c>
      <c r="I23" s="212">
        <f>SUMPRODUCT(Sample,yObs10,Custom_Illuminant)/SUMPRODUCT(yObs10,Custom_Illuminant)</f>
        <v>0.09696603306253662</v>
      </c>
      <c r="J23" s="213">
        <f>SUMPRODUCT(Sample,zObs10,Custom_Illuminant)/SUMPRODUCT(yObs10,Custom_Illuminant)</f>
        <v>0.05734159932200835</v>
      </c>
      <c r="K23" s="212">
        <f t="shared" si="21"/>
        <v>0.42610953483288266</v>
      </c>
      <c r="L23" s="214">
        <f t="shared" si="22"/>
        <v>0.360629483841674</v>
      </c>
      <c r="M23" s="215">
        <f t="shared" si="0"/>
        <v>37.29230835920413</v>
      </c>
      <c r="N23" s="215">
        <f t="shared" si="1"/>
        <v>13.146188334102776</v>
      </c>
      <c r="O23" s="216">
        <f t="shared" si="2"/>
        <v>14.762296354646853</v>
      </c>
      <c r="P23" s="215">
        <f t="shared" si="3"/>
        <v>19.76733824717227</v>
      </c>
      <c r="Q23" s="215">
        <f t="shared" si="4"/>
        <v>48.3141490003712</v>
      </c>
      <c r="R23" s="215">
        <f t="shared" si="5"/>
        <v>25.558256211325354</v>
      </c>
      <c r="S23" s="217">
        <f t="shared" si="6"/>
        <v>13.358849979515423</v>
      </c>
      <c r="T23" s="215">
        <f t="shared" si="7"/>
        <v>28.8389204607064</v>
      </c>
      <c r="U23" s="218">
        <f t="shared" si="8"/>
        <v>27.59527530330616</v>
      </c>
      <c r="W23" s="5">
        <f t="shared" si="9"/>
        <v>0.114585058629844</v>
      </c>
      <c r="X23" s="5">
        <f t="shared" si="10"/>
        <v>0.09696603306253662</v>
      </c>
      <c r="Y23" s="5">
        <f t="shared" si="11"/>
        <v>0.05733606279433216</v>
      </c>
      <c r="Z23" s="5">
        <f t="shared" si="12"/>
        <v>0.48570882804065496</v>
      </c>
      <c r="AA23" s="5">
        <f t="shared" si="13"/>
        <v>0.4594164513724494</v>
      </c>
      <c r="AB23" s="5">
        <f t="shared" si="14"/>
        <v>0.38560496959921514</v>
      </c>
      <c r="AC23" s="5">
        <f>SUMPRODUCT(xObs10,Custom_Illuminant)/SUMPRODUCT(yObs10,Custom_Illuminant)</f>
        <v>0.9998886979516123</v>
      </c>
      <c r="AD23" s="5">
        <f>SUMPRODUCT(yObs10,Custom_Illuminant)/SUMPRODUCT(yObs10,Custom_Illuminant)</f>
        <v>1</v>
      </c>
      <c r="AE23" s="5">
        <f>SUMPRODUCT(zObs10,Custom_Illuminant)/SUMPRODUCT(yObs10,Custom_Illuminant)</f>
        <v>1.0000965627461385</v>
      </c>
      <c r="AF23" s="5">
        <f t="shared" si="15"/>
        <v>0.2632200818501761</v>
      </c>
      <c r="AG23" s="5">
        <f t="shared" si="16"/>
        <v>0.5012351463952748</v>
      </c>
      <c r="AH23" s="5">
        <f t="shared" si="17"/>
        <v>0.21050090743955652</v>
      </c>
      <c r="AI23" s="5">
        <f t="shared" si="18"/>
        <v>0.4736797632669336</v>
      </c>
    </row>
    <row r="24" spans="2:5" ht="12.75" thickBot="1">
      <c r="B24" s="49">
        <v>410</v>
      </c>
      <c r="C24" s="190">
        <v>0.065387</v>
      </c>
      <c r="D24" s="191">
        <v>1</v>
      </c>
      <c r="E24" s="5"/>
    </row>
    <row r="25" spans="2:25" ht="12">
      <c r="B25" s="49">
        <v>415</v>
      </c>
      <c r="C25" s="190">
        <v>0.065216</v>
      </c>
      <c r="D25" s="191">
        <v>1</v>
      </c>
      <c r="E25" s="5"/>
      <c r="F25" s="178" t="s">
        <v>156</v>
      </c>
      <c r="G25" s="179"/>
      <c r="H25" s="106" t="s">
        <v>162</v>
      </c>
      <c r="I25" s="168" t="s">
        <v>154</v>
      </c>
      <c r="J25" s="169"/>
      <c r="K25" s="170"/>
      <c r="L25" s="171" t="s">
        <v>155</v>
      </c>
      <c r="M25" s="172"/>
      <c r="N25" s="173"/>
      <c r="W25" s="93" t="s">
        <v>161</v>
      </c>
      <c r="X25" s="93"/>
      <c r="Y25" s="93"/>
    </row>
    <row r="26" spans="2:25" ht="12.75" thickBot="1">
      <c r="B26" s="49">
        <v>420</v>
      </c>
      <c r="C26" s="190">
        <v>0.064502</v>
      </c>
      <c r="D26" s="191">
        <v>1</v>
      </c>
      <c r="E26" s="5"/>
      <c r="F26" s="166" t="s">
        <v>157</v>
      </c>
      <c r="G26" s="167"/>
      <c r="H26" s="107" t="s">
        <v>79</v>
      </c>
      <c r="I26" s="17" t="s">
        <v>123</v>
      </c>
      <c r="J26" s="18" t="s">
        <v>124</v>
      </c>
      <c r="K26" s="19" t="s">
        <v>125</v>
      </c>
      <c r="L26" s="108" t="s">
        <v>123</v>
      </c>
      <c r="M26" s="109" t="s">
        <v>124</v>
      </c>
      <c r="N26" s="27" t="s">
        <v>125</v>
      </c>
      <c r="W26" s="93" t="s">
        <v>158</v>
      </c>
      <c r="X26" s="93" t="s">
        <v>159</v>
      </c>
      <c r="Y26" s="93" t="s">
        <v>160</v>
      </c>
    </row>
    <row r="27" spans="2:25" ht="12">
      <c r="B27" s="49">
        <v>425</v>
      </c>
      <c r="C27" s="190">
        <v>0.062905</v>
      </c>
      <c r="D27" s="191">
        <v>1</v>
      </c>
      <c r="E27" s="5"/>
      <c r="F27" s="110" t="s">
        <v>132</v>
      </c>
      <c r="G27" s="51"/>
      <c r="H27" s="111" t="s">
        <v>151</v>
      </c>
      <c r="I27" s="219">
        <f>IF(W27&lt;0,-POWER(-W27,1/References!$BQ3),POWER(W27,1/References!$BQ3))</f>
        <v>0.4152972068222582</v>
      </c>
      <c r="J27" s="219">
        <f>IF(X27&lt;0,-POWER(-X27,1/References!$BQ3),POWER(X27,1/References!$BQ3))</f>
        <v>0.31594690511627294</v>
      </c>
      <c r="K27" s="219">
        <f>IF(Y27&lt;0,-POWER(-Y27,1/References!$BQ3),POWER(Y27,1/References!$BQ3))</f>
        <v>0.2629699332230445</v>
      </c>
      <c r="L27" s="220">
        <f>ROUND(255*I27,0)</f>
        <v>106</v>
      </c>
      <c r="M27" s="220">
        <f>ROUND(255*J27,0)</f>
        <v>81</v>
      </c>
      <c r="N27" s="221">
        <f>ROUND(255*K27,0)</f>
        <v>67</v>
      </c>
      <c r="W27" s="5">
        <f>D65_X*References!BH3+D65_Y*References!BK3+D65_Z*References!BN3</f>
        <v>0.14467377787778368</v>
      </c>
      <c r="X27" s="5">
        <f>D65_X*References!BI3+D65_Y*References!BL3+D65_Z*References!BO3</f>
        <v>0.07927769822648063</v>
      </c>
      <c r="Y27" s="5">
        <f>D65_X*References!BJ3+D65_Y*References!BM3+D65_Z*References!BP3</f>
        <v>0.052941154934435644</v>
      </c>
    </row>
    <row r="28" spans="2:25" ht="12">
      <c r="B28" s="49">
        <v>430</v>
      </c>
      <c r="C28" s="190">
        <v>0.060536</v>
      </c>
      <c r="D28" s="191">
        <v>1</v>
      </c>
      <c r="E28" s="5"/>
      <c r="F28" s="110" t="s">
        <v>133</v>
      </c>
      <c r="G28" s="51"/>
      <c r="H28" s="111" t="s">
        <v>151</v>
      </c>
      <c r="I28" s="219">
        <f>IF(W28&lt;0,-POWER(-W28,1/References!$BQ4),POWER(W28,1/References!$BQ4))</f>
        <v>0.36748804923908196</v>
      </c>
      <c r="J28" s="219">
        <f>IF(X28&lt;0,-POWER(-X28,1/References!$BQ4),POWER(X28,1/References!$BQ4))</f>
        <v>0.24168038449111814</v>
      </c>
      <c r="K28" s="219">
        <f>IF(Y28&lt;0,-POWER(-Y28,1/References!$BQ4),POWER(Y28,1/References!$BQ4))</f>
        <v>0.19103318629330215</v>
      </c>
      <c r="L28" s="220">
        <f aca="true" t="shared" si="23" ref="L28:L42">ROUND(255*I28,0)</f>
        <v>94</v>
      </c>
      <c r="M28" s="220">
        <f aca="true" t="shared" si="24" ref="M28:M42">ROUND(255*J28,0)</f>
        <v>62</v>
      </c>
      <c r="N28" s="221">
        <f aca="true" t="shared" si="25" ref="N28:N42">ROUND(255*K28,0)</f>
        <v>49</v>
      </c>
      <c r="W28" s="5">
        <f>D65_X*References!BH4+D65_Y*References!BK4+D65_Z*References!BN4</f>
        <v>0.1649824682291327</v>
      </c>
      <c r="X28" s="5">
        <f>D65_X*References!BI4+D65_Y*References!BL4+D65_Z*References!BO4</f>
        <v>0.07759514084029007</v>
      </c>
      <c r="Y28" s="5">
        <f>D65_X*References!BJ4+D65_Y*References!BM4+D65_Z*References!BP4</f>
        <v>0.05081546160299029</v>
      </c>
    </row>
    <row r="29" spans="2:25" ht="12">
      <c r="B29" s="49">
        <v>435</v>
      </c>
      <c r="C29" s="190">
        <v>0.058076</v>
      </c>
      <c r="D29" s="191">
        <v>1</v>
      </c>
      <c r="E29" s="5"/>
      <c r="F29" s="110" t="s">
        <v>134</v>
      </c>
      <c r="G29" s="51"/>
      <c r="H29" s="111" t="s">
        <v>150</v>
      </c>
      <c r="I29" s="219">
        <f>IF(W29&lt;0,-POWER(-W29,1/References!$BQ5),POWER(W29,1/References!$BQ5))</f>
        <v>0.41154855926941153</v>
      </c>
      <c r="J29" s="219">
        <f>IF(X29&lt;0,-POWER(-X29,1/References!$BQ5),POWER(X29,1/References!$BQ5))</f>
        <v>0.331671864221548</v>
      </c>
      <c r="K29" s="219">
        <f>IF(Y29&lt;0,-POWER(-Y29,1/References!$BQ5),POWER(Y29,1/References!$BQ5))</f>
        <v>0.27102767003485173</v>
      </c>
      <c r="L29" s="220">
        <f t="shared" si="23"/>
        <v>105</v>
      </c>
      <c r="M29" s="220">
        <f t="shared" si="24"/>
        <v>85</v>
      </c>
      <c r="N29" s="221">
        <f t="shared" si="25"/>
        <v>69</v>
      </c>
      <c r="W29" s="5">
        <f>D50_X*References!BH5+D50_Y*References!BK5+D50_Z*References!BN5</f>
        <v>0.14181637773932323</v>
      </c>
      <c r="X29" s="5">
        <f>D50_X*References!BI5+D50_Y*References!BL5+D50_Z*References!BO5</f>
        <v>0.08821836205184534</v>
      </c>
      <c r="Y29" s="5">
        <f>D50_X*References!BJ5+D50_Y*References!BM5+D50_Z*References!BP5</f>
        <v>0.05657570695201254</v>
      </c>
    </row>
    <row r="30" spans="2:25" ht="12">
      <c r="B30" s="49">
        <v>440</v>
      </c>
      <c r="C30" s="190">
        <v>0.056203</v>
      </c>
      <c r="D30" s="191">
        <v>1</v>
      </c>
      <c r="E30" s="5"/>
      <c r="F30" s="112" t="s">
        <v>135</v>
      </c>
      <c r="G30" s="60"/>
      <c r="H30" s="113" t="s">
        <v>150</v>
      </c>
      <c r="I30" s="204">
        <f>IF(W30&lt;0,-POWER(-W30,1/References!$BQ6),POWER(W30,1/References!$BQ6))</f>
        <v>0.40893720053566174</v>
      </c>
      <c r="J30" s="204">
        <f>IF(X30&lt;0,-POWER(-X30,1/References!$BQ6),POWER(X30,1/References!$BQ6))</f>
        <v>0.32272627402383464</v>
      </c>
      <c r="K30" s="204">
        <f>IF(Y30&lt;0,-POWER(-Y30,1/References!$BQ6),POWER(Y30,1/References!$BQ6))</f>
        <v>0.2688591240743165</v>
      </c>
      <c r="L30" s="222">
        <f t="shared" si="23"/>
        <v>104</v>
      </c>
      <c r="M30" s="222">
        <f t="shared" si="24"/>
        <v>82</v>
      </c>
      <c r="N30" s="223">
        <f t="shared" si="25"/>
        <v>69</v>
      </c>
      <c r="W30" s="5">
        <f>D50_X*References!BH6+D50_Y*References!BK6+D50_Z*References!BN6</f>
        <v>0.13984423358621706</v>
      </c>
      <c r="X30" s="5">
        <f>D50_X*References!BI6+D50_Y*References!BL6+D50_Z*References!BO6</f>
        <v>0.08306833633833574</v>
      </c>
      <c r="Y30" s="5">
        <f>D50_X*References!BJ6+D50_Y*References!BM6+D50_Z*References!BP6</f>
        <v>0.055584603833047024</v>
      </c>
    </row>
    <row r="31" spans="2:25" ht="12">
      <c r="B31" s="49">
        <v>445</v>
      </c>
      <c r="C31" s="190">
        <v>0.055059</v>
      </c>
      <c r="D31" s="191">
        <v>1</v>
      </c>
      <c r="E31" s="5"/>
      <c r="F31" s="110" t="s">
        <v>136</v>
      </c>
      <c r="G31" s="51"/>
      <c r="H31" s="111" t="s">
        <v>151</v>
      </c>
      <c r="I31" s="219">
        <f>IF(W31&lt;0,-POWER(-W31,1/References!$BQ7),POWER(W31,1/References!$BQ7))</f>
        <v>0.43470920006823116</v>
      </c>
      <c r="J31" s="219">
        <f>IF(X31&lt;0,-POWER(-X31,1/References!$BQ7),POWER(X31,1/References!$BQ7))</f>
        <v>0.3159471009545805</v>
      </c>
      <c r="K31" s="219">
        <f>IF(Y31&lt;0,-POWER(-Y31,1/References!$BQ7),POWER(Y31,1/References!$BQ7))</f>
        <v>0.26310084750935</v>
      </c>
      <c r="L31" s="220">
        <f t="shared" si="23"/>
        <v>111</v>
      </c>
      <c r="M31" s="220">
        <f t="shared" si="24"/>
        <v>81</v>
      </c>
      <c r="N31" s="221">
        <f t="shared" si="25"/>
        <v>67</v>
      </c>
      <c r="W31" s="5">
        <f>D65_X*References!BH7+D65_Y*References!BK7+D65_Z*References!BN7</f>
        <v>0.15996958917445855</v>
      </c>
      <c r="X31" s="5">
        <f>D65_X*References!BI7+D65_Y*References!BL7+D65_Z*References!BO7</f>
        <v>0.07927780633437695</v>
      </c>
      <c r="Y31" s="5">
        <f>D65_X*References!BJ7+D65_Y*References!BM7+D65_Z*References!BP7</f>
        <v>0.05299915476787508</v>
      </c>
    </row>
    <row r="32" spans="2:25" ht="12">
      <c r="B32" s="49">
        <v>450</v>
      </c>
      <c r="C32" s="190">
        <v>0.054295</v>
      </c>
      <c r="D32" s="191">
        <v>1</v>
      </c>
      <c r="E32" s="5"/>
      <c r="F32" s="110" t="s">
        <v>137</v>
      </c>
      <c r="G32" s="51"/>
      <c r="H32" s="111" t="s">
        <v>57</v>
      </c>
      <c r="I32" s="219">
        <f>IF(W32&lt;0,-POWER(-W32,1/References!$BQ8),POWER(W32,1/References!$BQ8))</f>
        <v>0.43696034061590355</v>
      </c>
      <c r="J32" s="219">
        <f>IF(X32&lt;0,-POWER(-X32,1/References!$BQ8),POWER(X32,1/References!$BQ8))</f>
        <v>0.32870926458099115</v>
      </c>
      <c r="K32" s="219">
        <f>IF(Y32&lt;0,-POWER(-Y32,1/References!$BQ8),POWER(Y32,1/References!$BQ8))</f>
        <v>0.2716594783800173</v>
      </c>
      <c r="L32" s="220">
        <f t="shared" si="23"/>
        <v>111</v>
      </c>
      <c r="M32" s="220">
        <f t="shared" si="24"/>
        <v>84</v>
      </c>
      <c r="N32" s="221">
        <f t="shared" si="25"/>
        <v>69</v>
      </c>
      <c r="W32" s="5">
        <f>E_X*References!BH8+E_Y*References!BK8+E_Z*References!BN8</f>
        <v>0.16179773845959902</v>
      </c>
      <c r="X32" s="5">
        <f>E_X*References!BI8+E_Y*References!BL8+E_Z*References!BO8</f>
        <v>0.08649405904078866</v>
      </c>
      <c r="Y32" s="5">
        <f>E_X*References!BJ8+E_Y*References!BM8+E_Z*References!BP8</f>
        <v>0.05686626406517019</v>
      </c>
    </row>
    <row r="33" spans="2:25" ht="12">
      <c r="B33" s="49">
        <v>455</v>
      </c>
      <c r="C33" s="190">
        <v>0.053859</v>
      </c>
      <c r="D33" s="191">
        <v>1</v>
      </c>
      <c r="E33" s="5"/>
      <c r="F33" s="110" t="s">
        <v>138</v>
      </c>
      <c r="G33" s="51"/>
      <c r="H33" s="111" t="s">
        <v>150</v>
      </c>
      <c r="I33" s="219">
        <f>IF(W33&lt;0,-POWER(-W33,1/References!$BQ9),POWER(W33,1/References!$BQ9))</f>
        <v>0.3658822218914551</v>
      </c>
      <c r="J33" s="219">
        <f>IF(X33&lt;0,-POWER(-X33,1/References!$BQ9),POWER(X33,1/References!$BQ9))</f>
        <v>0.24160614433154728</v>
      </c>
      <c r="K33" s="219">
        <f>IF(Y33&lt;0,-POWER(-Y33,1/References!$BQ9),POWER(Y33,1/References!$BQ9))</f>
        <v>0.189240957688353</v>
      </c>
      <c r="L33" s="220">
        <f t="shared" si="23"/>
        <v>93</v>
      </c>
      <c r="M33" s="220">
        <f t="shared" si="24"/>
        <v>62</v>
      </c>
      <c r="N33" s="221">
        <f t="shared" si="25"/>
        <v>48</v>
      </c>
      <c r="W33" s="5">
        <f>D50_X*References!BH9+D50_Y*References!BK9+D50_Z*References!BN9</f>
        <v>0.16368706211210055</v>
      </c>
      <c r="X33" s="5">
        <f>D50_X*References!BI9+D50_Y*References!BL9+D50_Z*References!BO9</f>
        <v>0.07755224144634766</v>
      </c>
      <c r="Y33" s="5">
        <f>D50_X*References!BJ9+D50_Y*References!BM9+D50_Z*References!BP9</f>
        <v>0.04996055416845092</v>
      </c>
    </row>
    <row r="34" spans="2:25" ht="12">
      <c r="B34" s="49">
        <v>460</v>
      </c>
      <c r="C34" s="190">
        <v>0.0537</v>
      </c>
      <c r="D34" s="191">
        <v>1</v>
      </c>
      <c r="E34" s="5"/>
      <c r="F34" s="112" t="s">
        <v>139</v>
      </c>
      <c r="G34" s="114"/>
      <c r="H34" s="113" t="s">
        <v>150</v>
      </c>
      <c r="I34" s="204">
        <f>IF(W34&lt;0,-POWER(-W34,1/References!$BQ10),POWER(W34,1/References!$BQ10))</f>
        <v>0.41170622554652453</v>
      </c>
      <c r="J34" s="204">
        <f>IF(X34&lt;0,-POWER(-X34,1/References!$BQ10),POWER(X34,1/References!$BQ10))</f>
        <v>0.3248757568656034</v>
      </c>
      <c r="K34" s="204">
        <f>IF(Y34&lt;0,-POWER(-Y34,1/References!$BQ10),POWER(Y34,1/References!$BQ10))</f>
        <v>0.2696288981274953</v>
      </c>
      <c r="L34" s="222">
        <f t="shared" si="23"/>
        <v>105</v>
      </c>
      <c r="M34" s="222">
        <f t="shared" si="24"/>
        <v>83</v>
      </c>
      <c r="N34" s="223">
        <f t="shared" si="25"/>
        <v>69</v>
      </c>
      <c r="W34" s="5">
        <f>D50_X*References!BH10+D50_Y*References!BK10+D50_Z*References!BN10</f>
        <v>0.14193593242883207</v>
      </c>
      <c r="X34" s="5">
        <f>D50_X*References!BI10+D50_Y*References!BL10+D50_Z*References!BO10</f>
        <v>0.08429039119846313</v>
      </c>
      <c r="Y34" s="5">
        <f>D50_X*References!BJ10+D50_Y*References!BM10+D50_Z*References!BP10</f>
        <v>0.05593532440992477</v>
      </c>
    </row>
    <row r="35" spans="2:25" ht="12">
      <c r="B35" s="49">
        <v>465</v>
      </c>
      <c r="C35" s="190">
        <v>0.053755</v>
      </c>
      <c r="D35" s="191">
        <v>1</v>
      </c>
      <c r="E35" s="5"/>
      <c r="F35" s="115" t="s">
        <v>167</v>
      </c>
      <c r="G35" s="116"/>
      <c r="H35" s="111" t="s">
        <v>150</v>
      </c>
      <c r="I35" s="219">
        <f>IF(W35&lt;0,IF(W35&gt;=(-216/24389),W35*216/2438900,-(1.16*POWER(-W35,1/3)-0.16)),IF(W35&lt;=(216/24389),W35*216/2438900,1.16*POWER(W35,1/3)-0.16))</f>
        <v>0.44646404238776616</v>
      </c>
      <c r="J35" s="219">
        <f>IF(X35&lt;0,IF(X35&gt;=(-216/24389),X35*216/2438900,-(1.16*POWER(-X35,1/3)-0.16)),IF(X35&lt;=(216/24389),X35*216/2438900,1.16*POWER(X35,1/3)-0.16))</f>
        <v>0.3439538158520453</v>
      </c>
      <c r="K35" s="219">
        <f>IF(Y35&lt;0,IF(Y35&gt;=(-216/24389),Y35*216/2438900,-(1.16*POWER(-Y35,1/3)-0.16)),IF(Y35&lt;=(216/24389),Y35*216/2438900,1.16*POWER(Y35,1/3)-0.16))</f>
        <v>0.28032868384337717</v>
      </c>
      <c r="L35" s="220">
        <f t="shared" si="23"/>
        <v>114</v>
      </c>
      <c r="M35" s="220">
        <f t="shared" si="24"/>
        <v>88</v>
      </c>
      <c r="N35" s="221">
        <f t="shared" si="25"/>
        <v>71</v>
      </c>
      <c r="W35" s="5">
        <f>D50_X*References!BH11+D50_Y*References!BK11+D50_Z*References!BN11</f>
        <v>0.14290295240074274</v>
      </c>
      <c r="X35" s="5">
        <f>D50_X*References!BI11+D50_Y*References!BL11+D50_Z*References!BO11</f>
        <v>0.08199705341507695</v>
      </c>
      <c r="Y35" s="5">
        <f>D50_X*References!BJ11+D50_Y*References!BM11+D50_Z*References!BP11</f>
        <v>0.05469617592420835</v>
      </c>
    </row>
    <row r="36" spans="2:25" ht="12">
      <c r="B36" s="49">
        <v>470</v>
      </c>
      <c r="C36" s="190">
        <v>0.054068</v>
      </c>
      <c r="D36" s="191">
        <v>1</v>
      </c>
      <c r="E36" s="5"/>
      <c r="F36" s="115" t="s">
        <v>141</v>
      </c>
      <c r="G36" s="116"/>
      <c r="H36" s="111" t="s">
        <v>150</v>
      </c>
      <c r="I36" s="219">
        <f>IF(W36&lt;0,-POWER(-W36,1/References!$BQ12),POWER(W36,1/References!$BQ12))</f>
        <v>0.4174144812035537</v>
      </c>
      <c r="J36" s="219">
        <f>IF(X36&lt;0,-POWER(-X36,1/References!$BQ12),POWER(X36,1/References!$BQ12))</f>
        <v>0.3226159745089737</v>
      </c>
      <c r="K36" s="219">
        <f>IF(Y36&lt;0,-POWER(-Y36,1/References!$BQ12),POWER(Y36,1/References!$BQ12))</f>
        <v>0.26876646665667736</v>
      </c>
      <c r="L36" s="220">
        <f t="shared" si="23"/>
        <v>106</v>
      </c>
      <c r="M36" s="220">
        <f t="shared" si="24"/>
        <v>82</v>
      </c>
      <c r="N36" s="221">
        <f t="shared" si="25"/>
        <v>69</v>
      </c>
      <c r="W36" s="5">
        <f>D50_X*References!BH12+D50_Y*References!BK12+D50_Z*References!BN12</f>
        <v>0.14630141480193373</v>
      </c>
      <c r="X36" s="5">
        <f>D50_X*References!BI12+D50_Y*References!BL12+D50_Z*References!BO12</f>
        <v>0.08300588979458917</v>
      </c>
      <c r="Y36" s="5">
        <f>D50_X*References!BJ12+D50_Y*References!BM12+D50_Z*References!BP12</f>
        <v>0.05554246885246589</v>
      </c>
    </row>
    <row r="37" spans="2:25" ht="12">
      <c r="B37" s="49">
        <v>475</v>
      </c>
      <c r="C37" s="190">
        <v>0.054746</v>
      </c>
      <c r="D37" s="191">
        <v>1</v>
      </c>
      <c r="E37" s="5"/>
      <c r="F37" s="115" t="s">
        <v>142</v>
      </c>
      <c r="G37" s="116"/>
      <c r="H37" s="111" t="s">
        <v>56</v>
      </c>
      <c r="I37" s="219">
        <f>IF(W37&lt;0,-POWER(-W37,1/References!$BQ13),POWER(W37,1/References!$BQ13))</f>
        <v>0.41038240883748783</v>
      </c>
      <c r="J37" s="219">
        <f>IF(X37&lt;0,-POWER(-X37,1/References!$BQ13),POWER(X37,1/References!$BQ13))</f>
        <v>0.3228717748695259</v>
      </c>
      <c r="K37" s="219">
        <f>IF(Y37&lt;0,-POWER(-Y37,1/References!$BQ13),POWER(Y37,1/References!$BQ13))</f>
        <v>0.26863484935060217</v>
      </c>
      <c r="L37" s="220">
        <f t="shared" si="23"/>
        <v>105</v>
      </c>
      <c r="M37" s="220">
        <f t="shared" si="24"/>
        <v>82</v>
      </c>
      <c r="N37" s="221">
        <f t="shared" si="25"/>
        <v>69</v>
      </c>
      <c r="W37" s="5">
        <f>C_X*References!BH13+C_Y*References!BK13+C_Z*References!BN13</f>
        <v>0.14093381881465322</v>
      </c>
      <c r="X37" s="5">
        <f>C_X*References!BI13+C_Y*References!BL13+C_Z*References!BO13</f>
        <v>0.0831507514507843</v>
      </c>
      <c r="Y37" s="5">
        <f>C_X*References!BJ13+C_Y*References!BM13+C_Z*References!BP13</f>
        <v>0.0554826472344619</v>
      </c>
    </row>
    <row r="38" spans="2:25" ht="12">
      <c r="B38" s="49">
        <v>480</v>
      </c>
      <c r="C38" s="190">
        <v>0.055897</v>
      </c>
      <c r="D38" s="191">
        <v>1</v>
      </c>
      <c r="E38" s="5"/>
      <c r="F38" s="117" t="s">
        <v>143</v>
      </c>
      <c r="G38" s="114"/>
      <c r="H38" s="113" t="s">
        <v>151</v>
      </c>
      <c r="I38" s="204">
        <f>IF(W38&lt;0,-POWER(-W38,1/References!$BQ14),POWER(W38,1/References!$BQ14))</f>
        <v>0.44312884205489833</v>
      </c>
      <c r="J38" s="204">
        <f>IF(X38&lt;0,-POWER(-X38,1/References!$BQ14),POWER(X38,1/References!$BQ14))</f>
        <v>0.31594690511627294</v>
      </c>
      <c r="K38" s="204">
        <f>IF(Y38&lt;0,-POWER(-Y38,1/References!$BQ14),POWER(Y38,1/References!$BQ14))</f>
        <v>0.2596510526337003</v>
      </c>
      <c r="L38" s="222">
        <f t="shared" si="23"/>
        <v>113</v>
      </c>
      <c r="M38" s="222">
        <f t="shared" si="24"/>
        <v>81</v>
      </c>
      <c r="N38" s="223">
        <f t="shared" si="25"/>
        <v>66</v>
      </c>
      <c r="W38" s="5">
        <f>D65_X*References!BH14+D65_Y*References!BK14+D65_Z*References!BN14</f>
        <v>0.16686530231018906</v>
      </c>
      <c r="X38" s="5">
        <f>D65_X*References!BI14+D65_Y*References!BL14+D65_Z*References!BO14</f>
        <v>0.07927769822648063</v>
      </c>
      <c r="Y38" s="5">
        <f>D65_X*References!BJ14+D65_Y*References!BM14+D65_Z*References!BP14</f>
        <v>0.051482329832675734</v>
      </c>
    </row>
    <row r="39" spans="2:25" ht="12">
      <c r="B39" s="49">
        <v>485</v>
      </c>
      <c r="C39" s="190">
        <v>0.057792</v>
      </c>
      <c r="D39" s="191">
        <v>1</v>
      </c>
      <c r="E39" s="5"/>
      <c r="F39" s="115" t="s">
        <v>144</v>
      </c>
      <c r="G39" s="116"/>
      <c r="H39" s="111" t="s">
        <v>150</v>
      </c>
      <c r="I39" s="219">
        <f>IF(W39&lt;0,-POWER(-W39,1/References!$BQ15),POWER(W39,1/References!$BQ15))</f>
        <v>0.3176533577802012</v>
      </c>
      <c r="J39" s="219">
        <f>IF(X39&lt;0,-POWER(-X39,1/References!$BQ15),POWER(X39,1/References!$BQ15))</f>
        <v>0.25958110573158544</v>
      </c>
      <c r="K39" s="219">
        <f>IF(Y39&lt;0,-POWER(-Y39,1/References!$BQ15),POWER(Y39,1/References!$BQ15))</f>
        <v>0.2035008109179419</v>
      </c>
      <c r="L39" s="220">
        <f t="shared" si="23"/>
        <v>81</v>
      </c>
      <c r="M39" s="220">
        <f t="shared" si="24"/>
        <v>66</v>
      </c>
      <c r="N39" s="221">
        <f t="shared" si="25"/>
        <v>52</v>
      </c>
      <c r="W39" s="5">
        <f>D50_X*References!BH15+D50_Y*References!BK15+D50_Z*References!BN15</f>
        <v>0.12691595171335027</v>
      </c>
      <c r="X39" s="5">
        <f>D50_X*References!BI15+D50_Y*References!BL15+D50_Z*References!BO15</f>
        <v>0.08824529118528118</v>
      </c>
      <c r="Y39" s="5">
        <f>D50_X*References!BJ15+D50_Y*References!BM15+D50_Z*References!BP15</f>
        <v>0.056940209339009666</v>
      </c>
    </row>
    <row r="40" spans="2:25" ht="12">
      <c r="B40" s="49">
        <v>490</v>
      </c>
      <c r="C40" s="190">
        <v>0.060295</v>
      </c>
      <c r="D40" s="191">
        <v>1</v>
      </c>
      <c r="E40" s="5"/>
      <c r="F40" s="115" t="s">
        <v>145</v>
      </c>
      <c r="G40" s="116"/>
      <c r="H40" s="111" t="s">
        <v>151</v>
      </c>
      <c r="I40" s="219">
        <f>IF(W40&lt;0,-POWER(-W40,1/References!$BQ16),POWER(W40,1/References!$BQ16))</f>
        <v>0.45513536844895724</v>
      </c>
      <c r="J40" s="219">
        <f>IF(X40&lt;0,-POWER(-X40,1/References!$BQ16),POWER(X40,1/References!$BQ16))</f>
        <v>0.3135174993509929</v>
      </c>
      <c r="K40" s="219">
        <f>IF(Y40&lt;0,-POWER(-Y40,1/References!$BQ16),POWER(Y40,1/References!$BQ16))</f>
        <v>0.26112057458110793</v>
      </c>
      <c r="L40" s="220">
        <f t="shared" si="23"/>
        <v>116</v>
      </c>
      <c r="M40" s="220">
        <f t="shared" si="24"/>
        <v>80</v>
      </c>
      <c r="N40" s="221">
        <f t="shared" si="25"/>
        <v>67</v>
      </c>
      <c r="W40" s="5">
        <f>D65_X*References!BH16+D65_Y*References!BK16+D65_Z*References!BN16</f>
        <v>0.17697392729961087</v>
      </c>
      <c r="X40" s="5">
        <f>D65_X*References!BI16+D65_Y*References!BL16+D65_Z*References!BO16</f>
        <v>0.07794278691200217</v>
      </c>
      <c r="Y40" s="5">
        <f>D65_X*References!BJ16+D65_Y*References!BM16+D65_Z*References!BP16</f>
        <v>0.05212552041809958</v>
      </c>
    </row>
    <row r="41" spans="2:25" ht="12">
      <c r="B41" s="58">
        <v>495</v>
      </c>
      <c r="C41" s="192">
        <v>0.062898</v>
      </c>
      <c r="D41" s="193">
        <v>1</v>
      </c>
      <c r="E41" s="5"/>
      <c r="F41" s="115" t="s">
        <v>146</v>
      </c>
      <c r="G41" s="116"/>
      <c r="H41" s="111" t="s">
        <v>151</v>
      </c>
      <c r="I41" s="219">
        <f>IF(W41&lt;0,IF(W41&gt;=-0.0031308,W41*12.92,-(1.055*POWER(-W41,1/References!$BQ17)-0.055)),IF(W41&lt;=0.0031308,W41*12.92,1.055*POWER(W41,1/References!$BQ17)-0.055))</f>
        <v>0.45009487980242274</v>
      </c>
      <c r="J41" s="219">
        <f>IF(X41&lt;0,IF(X41&gt;=-0.0031308,X41*12.92,-(1.055*POWER(-X41,1/References!$BQ17)-0.055)),IF(X41&lt;=0.0031308,X41*12.92,1.055*POWER(X41,1/References!$BQ17)-0.055))</f>
        <v>0.3119149349784489</v>
      </c>
      <c r="K41" s="219">
        <f>IF(Y41&lt;0,IF(Y41&gt;=-0.0031308,Y41*12.92,-(1.055*POWER(-Y41,1/References!$BQ17)-0.055)),IF(Y41&lt;=0.0031308,Y41*12.92,1.055*POWER(Y41,1/References!$BQ17)-0.055))</f>
        <v>0.25232091527479467</v>
      </c>
      <c r="L41" s="220">
        <f t="shared" si="23"/>
        <v>115</v>
      </c>
      <c r="M41" s="220">
        <f t="shared" si="24"/>
        <v>80</v>
      </c>
      <c r="N41" s="221">
        <f t="shared" si="25"/>
        <v>64</v>
      </c>
      <c r="W41" s="5">
        <f>D65_X*References!BH17+D65_Y*References!BK17+D65_Z*References!BN17</f>
        <v>0.17072189211115993</v>
      </c>
      <c r="X41" s="5">
        <f>D65_X*References!BI17+D65_Y*References!BL17+D65_Z*References!BO17</f>
        <v>0.07927769822648063</v>
      </c>
      <c r="Y41" s="5">
        <f>D65_X*References!BJ17+D65_Y*References!BM17+D65_Z*References!BP17</f>
        <v>0.05181018940481923</v>
      </c>
    </row>
    <row r="42" spans="2:25" ht="12.75" thickBot="1">
      <c r="B42" s="49">
        <v>500</v>
      </c>
      <c r="C42" s="190">
        <v>0.065096</v>
      </c>
      <c r="D42" s="191">
        <v>1</v>
      </c>
      <c r="E42" s="5"/>
      <c r="F42" s="118" t="s">
        <v>147</v>
      </c>
      <c r="G42" s="119"/>
      <c r="H42" s="120" t="s">
        <v>150</v>
      </c>
      <c r="I42" s="211">
        <f>IF(W42&lt;0,-POWER(-W42,1/References!$BQ18),POWER(W42,1/References!$BQ18))</f>
        <v>0.40509634281370704</v>
      </c>
      <c r="J42" s="211">
        <f>IF(X42&lt;0,-POWER(-X42,1/References!$BQ18),POWER(X42,1/References!$BQ18))</f>
        <v>0.3296315458672824</v>
      </c>
      <c r="K42" s="212">
        <f>IF(Y42&lt;0,-POWER(-Y42,1/References!$BQ18),POWER(Y42,1/References!$BQ18))</f>
        <v>0.26740620276866733</v>
      </c>
      <c r="L42" s="224">
        <f t="shared" si="23"/>
        <v>103</v>
      </c>
      <c r="M42" s="224">
        <f t="shared" si="24"/>
        <v>84</v>
      </c>
      <c r="N42" s="225">
        <f t="shared" si="25"/>
        <v>68</v>
      </c>
      <c r="W42" s="5">
        <f>D50_X*References!BH18+D50_Y*References!BK18+D50_Z*References!BN18</f>
        <v>0.13697089997131992</v>
      </c>
      <c r="X42" s="5">
        <f>D50_X*References!BI18+D50_Y*References!BL18+D50_Z*References!BO18</f>
        <v>0.0870288586115889</v>
      </c>
      <c r="Y42" s="5">
        <f>D50_X*References!BJ18+D50_Y*References!BM18+D50_Z*References!BP18</f>
        <v>0.054925908529093535</v>
      </c>
    </row>
    <row r="43" spans="2:19" ht="12.75" thickBot="1">
      <c r="B43" s="49">
        <v>505</v>
      </c>
      <c r="C43" s="190">
        <v>0.066684</v>
      </c>
      <c r="D43" s="191">
        <v>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3" ht="12.75" thickBot="1">
      <c r="B44" s="49">
        <v>510</v>
      </c>
      <c r="C44" s="190">
        <v>0.067954</v>
      </c>
      <c r="D44" s="191">
        <v>1</v>
      </c>
      <c r="E44" s="5"/>
      <c r="F44" s="121" t="s">
        <v>130</v>
      </c>
      <c r="G44" s="122" t="s">
        <v>123</v>
      </c>
      <c r="H44" s="123" t="s">
        <v>124</v>
      </c>
      <c r="I44" s="122" t="s">
        <v>125</v>
      </c>
      <c r="J44" s="124" t="s">
        <v>120</v>
      </c>
      <c r="K44" s="5"/>
      <c r="L44" s="5"/>
      <c r="M44" s="5"/>
    </row>
    <row r="45" spans="2:13" ht="12">
      <c r="B45" s="49">
        <v>515</v>
      </c>
      <c r="C45" s="190">
        <v>0.069145</v>
      </c>
      <c r="D45" s="191">
        <v>1</v>
      </c>
      <c r="E45" s="5"/>
      <c r="F45" s="125" t="s">
        <v>126</v>
      </c>
      <c r="G45" s="226">
        <f>-LOG10(SUMPRODUCT(Sample,Den_StatusA_R)/SUM(Den_StatusA_R))</f>
        <v>0.7959779888429466</v>
      </c>
      <c r="H45" s="227">
        <f>-LOG10(SUMPRODUCT(Sample,Den_StatusA_G)/SUM(Den_StatusA_G))</f>
        <v>1.118875539930596</v>
      </c>
      <c r="I45" s="226">
        <f>-LOG10(SUMPRODUCT(Sample,Den_StatusA_B)/SUM(Den_StatusA_B))</f>
        <v>1.2502393826102882</v>
      </c>
      <c r="J45" s="126" t="s">
        <v>131</v>
      </c>
      <c r="K45" s="5"/>
      <c r="L45" s="5"/>
      <c r="M45" s="5"/>
    </row>
    <row r="46" spans="2:13" ht="12">
      <c r="B46" s="49">
        <v>520</v>
      </c>
      <c r="C46" s="190">
        <v>0.070497</v>
      </c>
      <c r="D46" s="191">
        <v>1</v>
      </c>
      <c r="E46" s="5"/>
      <c r="F46" s="125" t="s">
        <v>127</v>
      </c>
      <c r="G46" s="226">
        <f>-LOG10(SUMPRODUCT(Sample,Den_StatusE_R)/SUM(Den_StatusE_R))</f>
        <v>0.8404969219265682</v>
      </c>
      <c r="H46" s="227">
        <f>-LOG10(SUMPRODUCT(Sample,Den_StatusE_G)/SUM(Den_StatusE_G))</f>
        <v>1.1167796743509153</v>
      </c>
      <c r="I46" s="226">
        <f>-LOG10(SUMPRODUCT(Sample,Den_StatusE_B)/SUM(Den_StatusE_B))</f>
        <v>1.242998990036276</v>
      </c>
      <c r="J46" s="126" t="s">
        <v>131</v>
      </c>
      <c r="K46" s="5"/>
      <c r="L46" s="5"/>
      <c r="M46" s="5"/>
    </row>
    <row r="47" spans="2:13" ht="12">
      <c r="B47" s="49">
        <v>525</v>
      </c>
      <c r="C47" s="190">
        <v>0.072008</v>
      </c>
      <c r="D47" s="191">
        <v>1</v>
      </c>
      <c r="E47" s="5"/>
      <c r="F47" s="125" t="s">
        <v>128</v>
      </c>
      <c r="G47" s="226">
        <f>-LOG10(SUMPRODUCT(Sample,Den_StatusM_R)/SUM(Den_StatusM_R))</f>
        <v>0.7382409786620954</v>
      </c>
      <c r="H47" s="227">
        <f>-LOG10(SUMPRODUCT(Sample,Den_StatusM_G)/SUM(Den_StatusM_G))</f>
        <v>1.0979114378179564</v>
      </c>
      <c r="I47" s="226">
        <f>-LOG10(SUMPRODUCT(Sample,Den_StatusM_B)/SUM(Den_StatusM_B))</f>
        <v>1.2546801712743956</v>
      </c>
      <c r="J47" s="126" t="s">
        <v>131</v>
      </c>
      <c r="K47" s="5"/>
      <c r="L47" s="5"/>
      <c r="M47" s="5"/>
    </row>
    <row r="48" spans="2:13" ht="12">
      <c r="B48" s="49">
        <v>530</v>
      </c>
      <c r="C48" s="190">
        <v>0.073572</v>
      </c>
      <c r="D48" s="191">
        <v>1</v>
      </c>
      <c r="E48" s="5"/>
      <c r="F48" s="125" t="s">
        <v>129</v>
      </c>
      <c r="G48" s="226">
        <f>-LOG10(SUMPRODUCT(Sample,Den_StatusT_R)/SUM(Den_StatusT_R))</f>
        <v>0.8404706276965326</v>
      </c>
      <c r="H48" s="227">
        <f>-LOG10(SUMPRODUCT(Sample,Den_StatusT_G)/SUM(Den_StatusT_G))</f>
        <v>1.1167685664823062</v>
      </c>
      <c r="I48" s="226">
        <f>-LOG10(SUMPRODUCT(Sample,Den_StatusT_B)/SUM(Den_StatusT_B))</f>
        <v>1.241127918364695</v>
      </c>
      <c r="J48" s="126" t="s">
        <v>131</v>
      </c>
      <c r="K48" s="5"/>
      <c r="L48" s="5"/>
      <c r="M48" s="5"/>
    </row>
    <row r="49" spans="2:13" ht="12">
      <c r="B49" s="49">
        <v>535</v>
      </c>
      <c r="C49" s="190">
        <v>0.075273</v>
      </c>
      <c r="D49" s="191">
        <v>1</v>
      </c>
      <c r="E49" s="5"/>
      <c r="F49" s="49" t="s">
        <v>120</v>
      </c>
      <c r="G49" s="127" t="s">
        <v>131</v>
      </c>
      <c r="H49" s="128" t="s">
        <v>131</v>
      </c>
      <c r="I49" s="127" t="s">
        <v>131</v>
      </c>
      <c r="J49" s="228">
        <f>-LOG10(SUMPRODUCT(Sample,Den_Visual)/SUM(Den_Visual))</f>
        <v>0.9641527191189491</v>
      </c>
      <c r="K49" s="5"/>
      <c r="L49" s="5"/>
      <c r="M49" s="5"/>
    </row>
    <row r="50" spans="2:13" ht="12">
      <c r="B50" s="49">
        <v>540</v>
      </c>
      <c r="C50" s="190">
        <v>0.077196</v>
      </c>
      <c r="D50" s="191">
        <v>1</v>
      </c>
      <c r="E50" s="5"/>
      <c r="F50" s="49" t="s">
        <v>121</v>
      </c>
      <c r="G50" s="127" t="s">
        <v>131</v>
      </c>
      <c r="H50" s="128" t="s">
        <v>131</v>
      </c>
      <c r="I50" s="127" t="s">
        <v>131</v>
      </c>
      <c r="J50" s="228">
        <f>-LOG10(SUMPRODUCT(Sample,Den_Type1)/SUM(Den_Type1))</f>
        <v>1.3566959390569748</v>
      </c>
      <c r="K50" s="5"/>
      <c r="L50" s="5"/>
      <c r="M50" s="5"/>
    </row>
    <row r="51" spans="2:13" ht="12.75" thickBot="1">
      <c r="B51" s="49">
        <v>545</v>
      </c>
      <c r="C51" s="190">
        <v>0.079054</v>
      </c>
      <c r="D51" s="191">
        <v>1</v>
      </c>
      <c r="E51" s="5"/>
      <c r="F51" s="84" t="s">
        <v>122</v>
      </c>
      <c r="G51" s="129" t="s">
        <v>131</v>
      </c>
      <c r="H51" s="130" t="s">
        <v>131</v>
      </c>
      <c r="I51" s="129" t="s">
        <v>131</v>
      </c>
      <c r="J51" s="229">
        <f>-LOG10(SUMPRODUCT(Sample,Den_Type2)/SUM(Den_Type2))</f>
        <v>1.3319973486763432</v>
      </c>
      <c r="K51" s="5"/>
      <c r="L51" s="5"/>
      <c r="M51" s="5"/>
    </row>
    <row r="52" spans="2:13" ht="12">
      <c r="B52" s="49">
        <v>550</v>
      </c>
      <c r="C52" s="190">
        <v>0.080902</v>
      </c>
      <c r="D52" s="191">
        <v>1</v>
      </c>
      <c r="E52" s="5"/>
      <c r="F52" s="5"/>
      <c r="G52" s="5"/>
      <c r="H52" s="5"/>
      <c r="I52" s="5"/>
      <c r="J52" s="5"/>
      <c r="K52" s="5"/>
      <c r="L52" s="5"/>
      <c r="M52" s="5"/>
    </row>
    <row r="53" spans="2:13" ht="12">
      <c r="B53" s="49">
        <v>555</v>
      </c>
      <c r="C53" s="190">
        <v>0.083347</v>
      </c>
      <c r="D53" s="191">
        <v>1</v>
      </c>
      <c r="E53" s="5"/>
      <c r="F53" s="5"/>
      <c r="G53" s="5"/>
      <c r="H53" s="5"/>
      <c r="I53" s="5"/>
      <c r="J53" s="5"/>
      <c r="K53" s="5"/>
      <c r="L53" s="5"/>
      <c r="M53" s="5"/>
    </row>
    <row r="54" spans="2:13" ht="12">
      <c r="B54" s="49">
        <v>560</v>
      </c>
      <c r="C54" s="190">
        <v>0.086991</v>
      </c>
      <c r="D54" s="191">
        <v>1</v>
      </c>
      <c r="E54" s="5"/>
      <c r="F54" s="5"/>
      <c r="G54" s="5"/>
      <c r="H54" s="5"/>
      <c r="I54" s="5"/>
      <c r="J54" s="5"/>
      <c r="K54" s="5"/>
      <c r="L54" s="5"/>
      <c r="M54" s="5"/>
    </row>
    <row r="55" spans="2:13" ht="12">
      <c r="B55" s="49">
        <v>565</v>
      </c>
      <c r="C55" s="190">
        <v>0.092374</v>
      </c>
      <c r="D55" s="191">
        <v>1</v>
      </c>
      <c r="E55" s="5"/>
      <c r="F55" s="5"/>
      <c r="G55" s="134" t="s">
        <v>62</v>
      </c>
      <c r="H55" s="134" t="s">
        <v>168</v>
      </c>
      <c r="I55" s="5"/>
      <c r="J55" s="5"/>
      <c r="K55" s="5"/>
      <c r="L55" s="5"/>
      <c r="M55" s="5"/>
    </row>
    <row r="56" spans="2:13" ht="12">
      <c r="B56" s="49">
        <v>570</v>
      </c>
      <c r="C56" s="190">
        <v>0.099049</v>
      </c>
      <c r="D56" s="191">
        <v>1</v>
      </c>
      <c r="E56" s="5"/>
      <c r="F56" s="5"/>
      <c r="G56" s="134" t="s">
        <v>169</v>
      </c>
      <c r="H56" s="134" t="s">
        <v>170</v>
      </c>
      <c r="I56" s="5"/>
      <c r="J56" s="5"/>
      <c r="K56" s="5"/>
      <c r="L56" s="5"/>
      <c r="M56" s="5"/>
    </row>
    <row r="57" spans="2:13" ht="12">
      <c r="B57" s="49">
        <v>575</v>
      </c>
      <c r="C57" s="190">
        <v>0.106144</v>
      </c>
      <c r="D57" s="191">
        <v>1</v>
      </c>
      <c r="E57" s="5"/>
      <c r="G57" s="2" t="s">
        <v>171</v>
      </c>
      <c r="H57" s="2" t="s">
        <v>172</v>
      </c>
      <c r="K57" s="5"/>
      <c r="L57" s="5"/>
      <c r="M57" s="5"/>
    </row>
    <row r="58" spans="2:13" ht="12">
      <c r="B58" s="49">
        <v>580</v>
      </c>
      <c r="C58" s="190">
        <v>0.112788</v>
      </c>
      <c r="D58" s="191">
        <v>1</v>
      </c>
      <c r="E58" s="5"/>
      <c r="G58" s="2" t="s">
        <v>173</v>
      </c>
      <c r="H58" s="2" t="s">
        <v>174</v>
      </c>
      <c r="K58" s="5"/>
      <c r="L58" s="5"/>
      <c r="M58" s="5"/>
    </row>
    <row r="59" spans="2:13" ht="12">
      <c r="B59" s="49">
        <v>585</v>
      </c>
      <c r="C59" s="190">
        <v>0.118961</v>
      </c>
      <c r="D59" s="191">
        <v>1</v>
      </c>
      <c r="E59" s="5"/>
      <c r="G59" s="2" t="s">
        <v>175</v>
      </c>
      <c r="H59" s="2" t="s">
        <v>176</v>
      </c>
      <c r="K59" s="5"/>
      <c r="L59" s="5"/>
      <c r="M59" s="5"/>
    </row>
    <row r="60" spans="2:13" ht="12">
      <c r="B60" s="49">
        <v>590</v>
      </c>
      <c r="C60" s="190">
        <v>0.125057</v>
      </c>
      <c r="D60" s="191">
        <v>1</v>
      </c>
      <c r="E60" s="5"/>
      <c r="G60" s="2" t="s">
        <v>177</v>
      </c>
      <c r="H60" s="2" t="s">
        <v>178</v>
      </c>
      <c r="K60" s="5"/>
      <c r="L60" s="5"/>
      <c r="M60" s="5"/>
    </row>
    <row r="61" spans="2:19" ht="12">
      <c r="B61" s="58">
        <v>595</v>
      </c>
      <c r="C61" s="192">
        <v>0.13082</v>
      </c>
      <c r="D61" s="193">
        <v>1</v>
      </c>
      <c r="E61" s="5"/>
      <c r="G61" s="2" t="s">
        <v>179</v>
      </c>
      <c r="H61" s="2" t="s">
        <v>180</v>
      </c>
      <c r="K61" s="5"/>
      <c r="L61" s="5"/>
      <c r="M61" s="5"/>
      <c r="N61" s="5"/>
      <c r="O61" s="5"/>
      <c r="P61" s="5"/>
      <c r="Q61" s="5"/>
      <c r="R61" s="5"/>
      <c r="S61" s="5"/>
    </row>
    <row r="62" spans="2:19" ht="12">
      <c r="B62" s="49">
        <v>600</v>
      </c>
      <c r="C62" s="190">
        <v>0.135991</v>
      </c>
      <c r="D62" s="191">
        <v>1</v>
      </c>
      <c r="E62" s="5"/>
      <c r="G62" s="2" t="s">
        <v>181</v>
      </c>
      <c r="H62" s="2" t="s">
        <v>182</v>
      </c>
      <c r="K62" s="5"/>
      <c r="L62" s="5"/>
      <c r="M62" s="5"/>
      <c r="N62" s="5"/>
      <c r="O62" s="5"/>
      <c r="P62" s="5"/>
      <c r="Q62" s="5"/>
      <c r="R62" s="5"/>
      <c r="S62" s="5"/>
    </row>
    <row r="63" spans="2:19" ht="12">
      <c r="B63" s="49">
        <v>605</v>
      </c>
      <c r="C63" s="190">
        <v>0.140276</v>
      </c>
      <c r="D63" s="191">
        <v>1</v>
      </c>
      <c r="E63" s="5"/>
      <c r="G63" s="2" t="s">
        <v>183</v>
      </c>
      <c r="H63" s="2" t="s">
        <v>184</v>
      </c>
      <c r="K63" s="5"/>
      <c r="L63" s="5"/>
      <c r="M63" s="5"/>
      <c r="N63" s="5"/>
      <c r="O63" s="5"/>
      <c r="P63" s="5"/>
      <c r="Q63" s="5"/>
      <c r="R63" s="5"/>
      <c r="S63" s="5"/>
    </row>
    <row r="64" spans="2:19" ht="12">
      <c r="B64" s="49">
        <v>610</v>
      </c>
      <c r="C64" s="190">
        <v>0.143887</v>
      </c>
      <c r="D64" s="191">
        <v>1</v>
      </c>
      <c r="E64" s="5"/>
      <c r="G64" s="2" t="s">
        <v>185</v>
      </c>
      <c r="H64" s="2" t="s">
        <v>186</v>
      </c>
      <c r="K64" s="5"/>
      <c r="L64" s="5"/>
      <c r="M64" s="5"/>
      <c r="N64" s="5"/>
      <c r="O64" s="5"/>
      <c r="P64" s="5"/>
      <c r="Q64" s="5"/>
      <c r="R64" s="5"/>
      <c r="S64" s="5"/>
    </row>
    <row r="65" spans="2:19" ht="12">
      <c r="B65" s="49">
        <v>615</v>
      </c>
      <c r="C65" s="190">
        <v>0.147325</v>
      </c>
      <c r="D65" s="191">
        <v>1</v>
      </c>
      <c r="E65" s="5"/>
      <c r="F65" s="5"/>
      <c r="G65" s="134" t="s">
        <v>187</v>
      </c>
      <c r="H65" s="134" t="s">
        <v>188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">
      <c r="B66" s="49">
        <v>620</v>
      </c>
      <c r="C66" s="190">
        <v>0.151092</v>
      </c>
      <c r="D66" s="191">
        <v>1</v>
      </c>
      <c r="E66" s="5"/>
      <c r="F66" s="5"/>
      <c r="G66" s="134" t="s">
        <v>189</v>
      </c>
      <c r="H66" s="134" t="s">
        <v>190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">
      <c r="B67" s="49">
        <v>625</v>
      </c>
      <c r="C67" s="190">
        <v>0.155028</v>
      </c>
      <c r="D67" s="191">
        <v>1</v>
      </c>
      <c r="E67" s="5"/>
      <c r="F67" s="5"/>
      <c r="G67" s="134" t="s">
        <v>191</v>
      </c>
      <c r="H67" s="134" t="s">
        <v>192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">
      <c r="B68" s="49">
        <v>630</v>
      </c>
      <c r="C68" s="190">
        <v>0.158961</v>
      </c>
      <c r="D68" s="191">
        <v>1</v>
      </c>
      <c r="E68" s="5"/>
      <c r="F68" s="5"/>
      <c r="G68" s="134" t="s">
        <v>193</v>
      </c>
      <c r="H68" s="134" t="s">
        <v>194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">
      <c r="B69" s="49">
        <v>635</v>
      </c>
      <c r="C69" s="190">
        <v>0.163384</v>
      </c>
      <c r="D69" s="191">
        <v>1</v>
      </c>
      <c r="E69" s="5"/>
      <c r="F69" s="5"/>
      <c r="G69" s="134" t="s">
        <v>195</v>
      </c>
      <c r="H69" s="134" t="s">
        <v>196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">
      <c r="B70" s="49">
        <v>640</v>
      </c>
      <c r="C70" s="190">
        <v>0.168788</v>
      </c>
      <c r="D70" s="191">
        <v>1</v>
      </c>
      <c r="E70" s="5"/>
      <c r="F70" s="5"/>
      <c r="G70" s="134" t="s">
        <v>197</v>
      </c>
      <c r="H70" s="134" t="s">
        <v>198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ht="12">
      <c r="B71" s="49">
        <v>645</v>
      </c>
      <c r="C71" s="190">
        <v>0.175347</v>
      </c>
      <c r="D71" s="191">
        <v>1</v>
      </c>
      <c r="E71" s="5"/>
      <c r="F71" s="5"/>
      <c r="G71" s="134" t="s">
        <v>199</v>
      </c>
      <c r="H71" s="134" t="s">
        <v>200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19" ht="12">
      <c r="B72" s="49">
        <v>650</v>
      </c>
      <c r="C72" s="190">
        <v>0.182785</v>
      </c>
      <c r="D72" s="191">
        <v>1</v>
      </c>
      <c r="E72" s="5"/>
      <c r="F72" s="5"/>
      <c r="G72" s="134" t="s">
        <v>201</v>
      </c>
      <c r="H72" s="134" t="s">
        <v>202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19" ht="12">
      <c r="B73" s="49">
        <v>655</v>
      </c>
      <c r="C73" s="190">
        <v>0.190923</v>
      </c>
      <c r="D73" s="191">
        <v>1</v>
      </c>
      <c r="E73" s="5"/>
      <c r="F73" s="5"/>
      <c r="G73" s="134" t="s">
        <v>203</v>
      </c>
      <c r="H73" s="134" t="s">
        <v>204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2:19" ht="12">
      <c r="B74" s="49">
        <v>660</v>
      </c>
      <c r="C74" s="190">
        <v>0.199583</v>
      </c>
      <c r="D74" s="191">
        <v>1</v>
      </c>
      <c r="E74" s="5"/>
      <c r="F74" s="5"/>
      <c r="G74" s="134" t="s">
        <v>205</v>
      </c>
      <c r="H74" s="134" t="s">
        <v>206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2:19" ht="12">
      <c r="B75" s="49">
        <v>665</v>
      </c>
      <c r="C75" s="190">
        <v>0.208826</v>
      </c>
      <c r="D75" s="191">
        <v>1</v>
      </c>
      <c r="E75" s="5"/>
      <c r="F75" s="5"/>
      <c r="G75" s="134" t="s">
        <v>207</v>
      </c>
      <c r="H75" s="134" t="s">
        <v>208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2:19" ht="12">
      <c r="B76" s="49">
        <v>670</v>
      </c>
      <c r="C76" s="190">
        <v>0.218711</v>
      </c>
      <c r="D76" s="191">
        <v>1</v>
      </c>
      <c r="E76" s="5"/>
      <c r="F76" s="5"/>
      <c r="G76" s="134" t="s">
        <v>209</v>
      </c>
      <c r="H76" s="134" t="s">
        <v>210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2">
      <c r="B77" s="49">
        <v>675</v>
      </c>
      <c r="C77" s="190">
        <v>0.229057</v>
      </c>
      <c r="D77" s="191">
        <v>1</v>
      </c>
      <c r="E77" s="5"/>
      <c r="F77" s="5"/>
      <c r="G77" s="134" t="s">
        <v>211</v>
      </c>
      <c r="H77" s="134" t="s">
        <v>212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19" ht="12">
      <c r="B78" s="49">
        <v>680</v>
      </c>
      <c r="C78" s="190">
        <v>0.239679</v>
      </c>
      <c r="D78" s="191">
        <v>1</v>
      </c>
      <c r="E78" s="5"/>
      <c r="F78" s="5"/>
      <c r="G78" s="134" t="s">
        <v>213</v>
      </c>
      <c r="H78" s="134" t="s">
        <v>214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2">
      <c r="B79" s="49">
        <v>685</v>
      </c>
      <c r="C79" s="190">
        <v>0.250547</v>
      </c>
      <c r="D79" s="191">
        <v>1</v>
      </c>
      <c r="E79" s="5"/>
      <c r="F79" s="5"/>
      <c r="G79" s="134" t="s">
        <v>215</v>
      </c>
      <c r="H79" s="134" t="s"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">
      <c r="B80" s="49">
        <v>690</v>
      </c>
      <c r="C80" s="190">
        <v>0.261753</v>
      </c>
      <c r="D80" s="191">
        <v>1</v>
      </c>
      <c r="E80" s="5"/>
      <c r="F80" s="5"/>
      <c r="G80" s="134" t="s">
        <v>1</v>
      </c>
      <c r="H80" s="134" t="s">
        <v>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ht="12">
      <c r="B81" s="58">
        <v>695</v>
      </c>
      <c r="C81" s="192">
        <v>0.273296</v>
      </c>
      <c r="D81" s="193">
        <v>1</v>
      </c>
      <c r="E81" s="5"/>
      <c r="F81" s="5"/>
      <c r="G81" s="134" t="s">
        <v>3</v>
      </c>
      <c r="H81" s="134" t="s">
        <v>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">
      <c r="B82" s="49">
        <v>700</v>
      </c>
      <c r="C82" s="190">
        <v>0.285176</v>
      </c>
      <c r="D82" s="191">
        <v>1</v>
      </c>
      <c r="E82" s="5"/>
      <c r="F82" s="5"/>
      <c r="G82" s="134" t="s">
        <v>5</v>
      </c>
      <c r="H82" s="134" t="s">
        <v>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">
      <c r="B83" s="49">
        <v>705</v>
      </c>
      <c r="C83" s="190">
        <v>0</v>
      </c>
      <c r="D83" s="191">
        <v>1</v>
      </c>
      <c r="E83" s="5"/>
      <c r="F83" s="5"/>
      <c r="G83" s="134" t="s">
        <v>7</v>
      </c>
      <c r="H83" s="134" t="s">
        <v>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">
      <c r="B84" s="49">
        <v>710</v>
      </c>
      <c r="C84" s="190">
        <v>0</v>
      </c>
      <c r="D84" s="191">
        <v>1</v>
      </c>
      <c r="E84" s="5"/>
      <c r="F84" s="5"/>
      <c r="G84" s="134" t="s">
        <v>9</v>
      </c>
      <c r="H84" s="134" t="s">
        <v>10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2">
      <c r="B85" s="49">
        <v>715</v>
      </c>
      <c r="C85" s="190">
        <v>0</v>
      </c>
      <c r="D85" s="191">
        <v>1</v>
      </c>
      <c r="E85" s="5"/>
      <c r="F85" s="5"/>
      <c r="G85" s="134" t="s">
        <v>102</v>
      </c>
      <c r="H85" s="134" t="s">
        <v>11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">
      <c r="B86" s="49">
        <v>720</v>
      </c>
      <c r="C86" s="190">
        <v>0</v>
      </c>
      <c r="D86" s="191">
        <v>1</v>
      </c>
      <c r="E86" s="5"/>
      <c r="F86" s="5"/>
      <c r="G86" s="134" t="s">
        <v>12</v>
      </c>
      <c r="H86" s="134" t="s">
        <v>13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">
      <c r="B87" s="49">
        <v>725</v>
      </c>
      <c r="C87" s="190">
        <v>0</v>
      </c>
      <c r="D87" s="191">
        <v>1</v>
      </c>
      <c r="E87" s="5"/>
      <c r="F87" s="5"/>
      <c r="G87" s="134" t="s">
        <v>14</v>
      </c>
      <c r="H87" s="134" t="s">
        <v>15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">
      <c r="B88" s="49">
        <v>730</v>
      </c>
      <c r="C88" s="190">
        <v>0</v>
      </c>
      <c r="D88" s="191">
        <v>1</v>
      </c>
      <c r="E88" s="5"/>
      <c r="F88" s="5"/>
      <c r="G88" s="134" t="s">
        <v>16</v>
      </c>
      <c r="H88" s="134" t="s">
        <v>17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">
      <c r="B89" s="49">
        <v>735</v>
      </c>
      <c r="C89" s="190">
        <v>0</v>
      </c>
      <c r="D89" s="191">
        <v>1</v>
      </c>
      <c r="E89" s="5"/>
      <c r="F89" s="5"/>
      <c r="G89" s="134" t="s">
        <v>18</v>
      </c>
      <c r="H89" s="134" t="s">
        <v>19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ht="12">
      <c r="B90" s="49">
        <v>740</v>
      </c>
      <c r="C90" s="190">
        <v>0</v>
      </c>
      <c r="D90" s="191">
        <v>1</v>
      </c>
      <c r="E90" s="5"/>
      <c r="F90" s="5"/>
      <c r="G90" s="134" t="s">
        <v>20</v>
      </c>
      <c r="H90" s="134" t="s">
        <v>21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">
      <c r="B91" s="49">
        <v>745</v>
      </c>
      <c r="C91" s="190">
        <v>0</v>
      </c>
      <c r="D91" s="191">
        <v>1</v>
      </c>
      <c r="E91" s="5"/>
      <c r="F91" s="5"/>
      <c r="G91" s="134" t="s">
        <v>22</v>
      </c>
      <c r="H91" s="134" t="s">
        <v>23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2">
      <c r="B92" s="49">
        <v>750</v>
      </c>
      <c r="C92" s="190">
        <v>0</v>
      </c>
      <c r="D92" s="191">
        <v>1</v>
      </c>
      <c r="E92" s="5"/>
      <c r="F92" s="5"/>
      <c r="G92" s="134" t="s">
        <v>24</v>
      </c>
      <c r="H92" s="134" t="s">
        <v>25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">
      <c r="B93" s="49">
        <v>755</v>
      </c>
      <c r="C93" s="190">
        <v>0</v>
      </c>
      <c r="D93" s="191">
        <v>1</v>
      </c>
      <c r="E93" s="5"/>
      <c r="F93" s="5"/>
      <c r="G93" s="134" t="s">
        <v>26</v>
      </c>
      <c r="H93" s="134" t="s">
        <v>27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">
      <c r="B94" s="49">
        <v>760</v>
      </c>
      <c r="C94" s="190">
        <v>0</v>
      </c>
      <c r="D94" s="191">
        <v>1</v>
      </c>
      <c r="E94" s="5"/>
      <c r="F94" s="5"/>
      <c r="G94" s="134" t="s">
        <v>28</v>
      </c>
      <c r="H94" s="134" t="s">
        <v>29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">
      <c r="B95" s="49">
        <v>765</v>
      </c>
      <c r="C95" s="190">
        <v>0</v>
      </c>
      <c r="D95" s="191">
        <v>1</v>
      </c>
      <c r="E95" s="5"/>
      <c r="F95" s="5"/>
      <c r="G95" s="134" t="s">
        <v>30</v>
      </c>
      <c r="H95" s="134" t="s">
        <v>31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">
      <c r="B96" s="49">
        <v>770</v>
      </c>
      <c r="C96" s="190">
        <v>0</v>
      </c>
      <c r="D96" s="191">
        <v>1</v>
      </c>
      <c r="E96" s="5"/>
      <c r="F96" s="5"/>
      <c r="G96" s="134" t="s">
        <v>32</v>
      </c>
      <c r="H96" s="134" t="s">
        <v>33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">
      <c r="B97" s="49">
        <v>775</v>
      </c>
      <c r="C97" s="190">
        <v>0</v>
      </c>
      <c r="D97" s="191">
        <v>1</v>
      </c>
      <c r="E97" s="5"/>
      <c r="F97" s="5"/>
      <c r="G97" s="134" t="s">
        <v>103</v>
      </c>
      <c r="H97" s="134" t="s">
        <v>34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12">
      <c r="B98" s="49">
        <v>780</v>
      </c>
      <c r="C98" s="190">
        <v>0</v>
      </c>
      <c r="D98" s="191">
        <v>1</v>
      </c>
      <c r="E98" s="5"/>
      <c r="F98" s="5"/>
      <c r="G98" s="134" t="s">
        <v>63</v>
      </c>
      <c r="H98" s="134" t="s">
        <v>35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12">
      <c r="B99" s="49">
        <v>785</v>
      </c>
      <c r="C99" s="190">
        <v>0</v>
      </c>
      <c r="D99" s="191">
        <v>1</v>
      </c>
      <c r="E99" s="5"/>
      <c r="F99" s="5"/>
      <c r="G99" s="134" t="s">
        <v>36</v>
      </c>
      <c r="H99" s="134" t="s">
        <v>37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12">
      <c r="B100" s="49">
        <v>790</v>
      </c>
      <c r="C100" s="190">
        <v>0</v>
      </c>
      <c r="D100" s="191">
        <v>1</v>
      </c>
      <c r="E100" s="5"/>
      <c r="F100" s="5"/>
      <c r="G100" s="134" t="s">
        <v>38</v>
      </c>
      <c r="H100" s="134" t="s">
        <v>39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2">
      <c r="B101" s="58">
        <v>795</v>
      </c>
      <c r="C101" s="192">
        <v>0</v>
      </c>
      <c r="D101" s="193">
        <v>1</v>
      </c>
      <c r="E101" s="5"/>
      <c r="F101" s="5"/>
      <c r="G101" s="134" t="s">
        <v>40</v>
      </c>
      <c r="H101" s="134" t="s">
        <v>41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2">
      <c r="B102" s="49">
        <v>800</v>
      </c>
      <c r="C102" s="190">
        <v>0</v>
      </c>
      <c r="D102" s="191">
        <v>1</v>
      </c>
      <c r="E102" s="5"/>
      <c r="F102" s="5"/>
      <c r="G102" s="134" t="s">
        <v>42</v>
      </c>
      <c r="H102" s="134" t="s">
        <v>43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">
      <c r="B103" s="49">
        <v>805</v>
      </c>
      <c r="C103" s="190">
        <v>0</v>
      </c>
      <c r="D103" s="191">
        <v>1</v>
      </c>
      <c r="E103" s="5"/>
      <c r="F103" s="5"/>
      <c r="G103" s="134" t="s">
        <v>44</v>
      </c>
      <c r="H103" s="134" t="s">
        <v>45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2:8" ht="12">
      <c r="B104" s="49">
        <v>810</v>
      </c>
      <c r="C104" s="190">
        <v>0</v>
      </c>
      <c r="D104" s="191">
        <v>1</v>
      </c>
      <c r="G104" s="2" t="s">
        <v>46</v>
      </c>
      <c r="H104" s="2" t="s">
        <v>47</v>
      </c>
    </row>
    <row r="105" spans="2:4" ht="12">
      <c r="B105" s="49">
        <v>815</v>
      </c>
      <c r="C105" s="190">
        <v>0</v>
      </c>
      <c r="D105" s="191">
        <v>1</v>
      </c>
    </row>
    <row r="106" spans="2:4" ht="12">
      <c r="B106" s="49">
        <v>820</v>
      </c>
      <c r="C106" s="190">
        <v>0</v>
      </c>
      <c r="D106" s="191">
        <v>1</v>
      </c>
    </row>
    <row r="107" spans="2:4" ht="12">
      <c r="B107" s="49">
        <v>825</v>
      </c>
      <c r="C107" s="190">
        <v>0</v>
      </c>
      <c r="D107" s="191">
        <v>1</v>
      </c>
    </row>
    <row r="108" spans="2:4" ht="12.75" thickBot="1">
      <c r="B108" s="84">
        <v>830</v>
      </c>
      <c r="C108" s="195">
        <v>0</v>
      </c>
      <c r="D108" s="196">
        <v>1</v>
      </c>
    </row>
  </sheetData>
  <mergeCells count="6">
    <mergeCell ref="F26:G26"/>
    <mergeCell ref="I25:K25"/>
    <mergeCell ref="L25:N25"/>
    <mergeCell ref="B3:C3"/>
    <mergeCell ref="B4:C4"/>
    <mergeCell ref="F25:G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BQ102"/>
  <sheetViews>
    <sheetView workbookViewId="0" topLeftCell="A1">
      <selection activeCell="C25" sqref="C25"/>
    </sheetView>
  </sheetViews>
  <sheetFormatPr defaultColWidth="10.875" defaultRowHeight="12"/>
  <cols>
    <col min="1" max="1" width="3.875" style="5" customWidth="1"/>
    <col min="2" max="2" width="10.875" style="93" customWidth="1"/>
    <col min="3" max="3" width="19.375" style="2" customWidth="1"/>
    <col min="4" max="8" width="14.75390625" style="2" bestFit="1" customWidth="1"/>
    <col min="9" max="9" width="19.625" style="3" customWidth="1"/>
    <col min="10" max="11" width="6.875" style="4" customWidth="1"/>
    <col min="12" max="12" width="6.75390625" style="4" customWidth="1"/>
    <col min="13" max="20" width="6.875" style="4" customWidth="1"/>
    <col min="21" max="23" width="7.875" style="4" customWidth="1"/>
    <col min="24" max="35" width="8.25390625" style="4" customWidth="1"/>
    <col min="36" max="36" width="3.875" style="4" customWidth="1"/>
    <col min="37" max="37" width="19.00390625" style="4" customWidth="1"/>
    <col min="38" max="38" width="19.875" style="4" customWidth="1"/>
    <col min="39" max="39" width="21.25390625" style="4" customWidth="1"/>
    <col min="40" max="40" width="17.625" style="4" customWidth="1"/>
    <col min="41" max="41" width="20.75390625" style="4" customWidth="1"/>
    <col min="42" max="42" width="17.625" style="4" customWidth="1"/>
    <col min="43" max="43" width="18.875" style="4" customWidth="1"/>
    <col min="44" max="44" width="20.375" style="4" customWidth="1"/>
    <col min="45" max="45" width="21.375" style="4" customWidth="1"/>
    <col min="46" max="46" width="18.25390625" style="4" customWidth="1"/>
    <col min="47" max="47" width="17.875" style="4" customWidth="1"/>
    <col min="48" max="48" width="18.125" style="4" customWidth="1"/>
    <col min="49" max="49" width="18.875" style="4" customWidth="1"/>
    <col min="50" max="50" width="18.00390625" style="4" customWidth="1"/>
    <col min="51" max="51" width="19.00390625" style="4" customWidth="1"/>
    <col min="52" max="52" width="3.875" style="4" customWidth="1"/>
    <col min="53" max="53" width="18.625" style="4" customWidth="1"/>
    <col min="54" max="54" width="23.125" style="4" customWidth="1"/>
    <col min="55" max="55" width="3.875" style="5" customWidth="1"/>
    <col min="56" max="57" width="10.875" style="5" customWidth="1"/>
    <col min="58" max="58" width="3.875" style="5" customWidth="1"/>
    <col min="59" max="59" width="16.125" style="5" bestFit="1" customWidth="1"/>
    <col min="60" max="16384" width="10.875" style="5" customWidth="1"/>
  </cols>
  <sheetData>
    <row r="1" ht="12.75" thickBot="1">
      <c r="B1" s="1"/>
    </row>
    <row r="2" spans="2:69" ht="12.75" thickBot="1">
      <c r="B2" s="6" t="s">
        <v>74</v>
      </c>
      <c r="C2" s="168" t="s">
        <v>75</v>
      </c>
      <c r="D2" s="169"/>
      <c r="E2" s="169"/>
      <c r="F2" s="169"/>
      <c r="G2" s="169"/>
      <c r="H2" s="169"/>
      <c r="I2" s="171" t="s">
        <v>76</v>
      </c>
      <c r="J2" s="172"/>
      <c r="K2" s="172"/>
      <c r="L2" s="172"/>
      <c r="M2" s="172"/>
      <c r="N2" s="172"/>
      <c r="O2" s="172"/>
      <c r="P2" s="172"/>
      <c r="Q2" s="187"/>
      <c r="R2" s="182" t="s">
        <v>77</v>
      </c>
      <c r="S2" s="183"/>
      <c r="T2" s="183"/>
      <c r="U2" s="7"/>
      <c r="V2" s="8"/>
      <c r="W2" s="9"/>
      <c r="X2" s="182" t="s">
        <v>126</v>
      </c>
      <c r="Y2" s="183"/>
      <c r="Z2" s="183"/>
      <c r="AA2" s="182" t="s">
        <v>127</v>
      </c>
      <c r="AB2" s="183"/>
      <c r="AC2" s="183"/>
      <c r="AD2" s="182" t="s">
        <v>128</v>
      </c>
      <c r="AE2" s="183"/>
      <c r="AF2" s="183"/>
      <c r="AG2" s="182" t="s">
        <v>129</v>
      </c>
      <c r="AH2" s="183"/>
      <c r="AI2" s="184"/>
      <c r="AJ2" s="10"/>
      <c r="AK2" s="7"/>
      <c r="AL2" s="8"/>
      <c r="AM2" s="9"/>
      <c r="AN2" s="182" t="s">
        <v>126</v>
      </c>
      <c r="AO2" s="183"/>
      <c r="AP2" s="183"/>
      <c r="AQ2" s="182" t="s">
        <v>127</v>
      </c>
      <c r="AR2" s="183"/>
      <c r="AS2" s="183"/>
      <c r="AT2" s="182" t="s">
        <v>128</v>
      </c>
      <c r="AU2" s="183"/>
      <c r="AV2" s="183"/>
      <c r="AW2" s="182" t="s">
        <v>129</v>
      </c>
      <c r="AX2" s="183"/>
      <c r="AY2" s="184"/>
      <c r="AZ2" s="10"/>
      <c r="BA2" s="186" t="s">
        <v>79</v>
      </c>
      <c r="BB2" s="184"/>
      <c r="BD2" s="180" t="s">
        <v>100</v>
      </c>
      <c r="BE2" s="181"/>
      <c r="BG2" s="13" t="s">
        <v>148</v>
      </c>
      <c r="BH2" s="185" t="s">
        <v>149</v>
      </c>
      <c r="BI2" s="185"/>
      <c r="BJ2" s="185"/>
      <c r="BK2" s="185"/>
      <c r="BL2" s="185"/>
      <c r="BM2" s="185"/>
      <c r="BN2" s="185"/>
      <c r="BO2" s="185"/>
      <c r="BP2" s="185"/>
      <c r="BQ2" s="15" t="s">
        <v>163</v>
      </c>
    </row>
    <row r="3" spans="2:69" s="30" customFormat="1" ht="12.75" thickBot="1">
      <c r="B3" s="16" t="s">
        <v>101</v>
      </c>
      <c r="C3" s="17" t="s">
        <v>48</v>
      </c>
      <c r="D3" s="18" t="s">
        <v>49</v>
      </c>
      <c r="E3" s="18" t="s">
        <v>50</v>
      </c>
      <c r="F3" s="19" t="s">
        <v>51</v>
      </c>
      <c r="G3" s="20" t="s">
        <v>52</v>
      </c>
      <c r="H3" s="18" t="s">
        <v>53</v>
      </c>
      <c r="I3" s="21" t="s">
        <v>54</v>
      </c>
      <c r="J3" s="22" t="s">
        <v>55</v>
      </c>
      <c r="K3" s="23" t="s">
        <v>56</v>
      </c>
      <c r="L3" s="22" t="s">
        <v>61</v>
      </c>
      <c r="M3" s="22" t="s">
        <v>57</v>
      </c>
      <c r="N3" s="22" t="s">
        <v>164</v>
      </c>
      <c r="O3" s="22" t="s">
        <v>165</v>
      </c>
      <c r="P3" s="22" t="s">
        <v>166</v>
      </c>
      <c r="Q3" s="22" t="s">
        <v>62</v>
      </c>
      <c r="R3" s="24" t="s">
        <v>58</v>
      </c>
      <c r="S3" s="22" t="s">
        <v>59</v>
      </c>
      <c r="T3" s="23" t="s">
        <v>60</v>
      </c>
      <c r="U3" s="25" t="s">
        <v>120</v>
      </c>
      <c r="V3" s="26" t="s">
        <v>121</v>
      </c>
      <c r="W3" s="23" t="s">
        <v>122</v>
      </c>
      <c r="X3" s="24" t="s">
        <v>123</v>
      </c>
      <c r="Y3" s="22" t="s">
        <v>124</v>
      </c>
      <c r="Z3" s="23" t="s">
        <v>125</v>
      </c>
      <c r="AA3" s="24" t="s">
        <v>123</v>
      </c>
      <c r="AB3" s="22" t="s">
        <v>124</v>
      </c>
      <c r="AC3" s="23" t="s">
        <v>125</v>
      </c>
      <c r="AD3" s="24" t="s">
        <v>123</v>
      </c>
      <c r="AE3" s="22" t="s">
        <v>124</v>
      </c>
      <c r="AF3" s="23" t="s">
        <v>125</v>
      </c>
      <c r="AG3" s="24" t="s">
        <v>123</v>
      </c>
      <c r="AH3" s="22" t="s">
        <v>124</v>
      </c>
      <c r="AI3" s="27" t="s">
        <v>125</v>
      </c>
      <c r="AJ3" s="10"/>
      <c r="AK3" s="25" t="s">
        <v>120</v>
      </c>
      <c r="AL3" s="26" t="s">
        <v>121</v>
      </c>
      <c r="AM3" s="23" t="s">
        <v>122</v>
      </c>
      <c r="AN3" s="24" t="s">
        <v>123</v>
      </c>
      <c r="AO3" s="22" t="s">
        <v>124</v>
      </c>
      <c r="AP3" s="23" t="s">
        <v>125</v>
      </c>
      <c r="AQ3" s="24" t="s">
        <v>123</v>
      </c>
      <c r="AR3" s="22" t="s">
        <v>124</v>
      </c>
      <c r="AS3" s="23" t="s">
        <v>125</v>
      </c>
      <c r="AT3" s="24" t="s">
        <v>123</v>
      </c>
      <c r="AU3" s="22" t="s">
        <v>124</v>
      </c>
      <c r="AV3" s="23" t="s">
        <v>125</v>
      </c>
      <c r="AW3" s="24" t="s">
        <v>123</v>
      </c>
      <c r="AX3" s="22" t="s">
        <v>124</v>
      </c>
      <c r="AY3" s="27" t="s">
        <v>125</v>
      </c>
      <c r="AZ3" s="10"/>
      <c r="BA3" s="28" t="s">
        <v>150</v>
      </c>
      <c r="BB3" s="29" t="s">
        <v>151</v>
      </c>
      <c r="BD3" s="31" t="s">
        <v>64</v>
      </c>
      <c r="BE3" s="32">
        <f>1/Illuminant_D_Temperature</f>
        <v>0.0002</v>
      </c>
      <c r="BG3" s="33" t="s">
        <v>132</v>
      </c>
      <c r="BH3" s="34">
        <v>2.04148</v>
      </c>
      <c r="BI3" s="34">
        <v>-0.969258</v>
      </c>
      <c r="BJ3" s="34">
        <v>0.0134455</v>
      </c>
      <c r="BK3" s="34">
        <v>-0.564977</v>
      </c>
      <c r="BL3" s="34">
        <v>1.87599</v>
      </c>
      <c r="BM3" s="34">
        <v>-0.118373</v>
      </c>
      <c r="BN3" s="34">
        <v>-0.344713</v>
      </c>
      <c r="BO3" s="34">
        <v>0.0415557</v>
      </c>
      <c r="BP3" s="34">
        <v>1.01527</v>
      </c>
      <c r="BQ3" s="35">
        <v>2.2</v>
      </c>
    </row>
    <row r="4" spans="2:69" s="30" customFormat="1" ht="12">
      <c r="B4" s="36">
        <v>340</v>
      </c>
      <c r="C4" s="37">
        <v>0</v>
      </c>
      <c r="D4" s="38">
        <v>0</v>
      </c>
      <c r="E4" s="39">
        <v>0</v>
      </c>
      <c r="F4" s="40">
        <v>0</v>
      </c>
      <c r="G4" s="39">
        <v>0</v>
      </c>
      <c r="H4" s="38">
        <v>0</v>
      </c>
      <c r="I4" s="135">
        <f>(100*$BE$12)/(1E-45*B4*B4*B4*B4*B4*(POWER($BE$11,$BE$13/($BE$17*B4*0.000000001))-1)*$BE$18)</f>
        <v>3.593239778976573</v>
      </c>
      <c r="J4" s="42">
        <v>2.4</v>
      </c>
      <c r="K4" s="41">
        <v>2.7</v>
      </c>
      <c r="L4" s="52">
        <f>(R4+S4*$BE$7+T4*$BE$8)</f>
        <v>17.923592506196155</v>
      </c>
      <c r="M4" s="41">
        <v>100</v>
      </c>
      <c r="N4" s="41">
        <v>0</v>
      </c>
      <c r="O4" s="48">
        <v>0</v>
      </c>
      <c r="P4" s="41">
        <v>0</v>
      </c>
      <c r="Q4" s="42">
        <f>(100*$BE$12)/(1E-45*B4*B4*B4*B4*B4*(POWER($BE$11,$BE$13/(Blackbody_Temperature*B4*0.000000001))-1)*$BE$14)</f>
        <v>43.359586478134105</v>
      </c>
      <c r="R4" s="41">
        <v>57.3</v>
      </c>
      <c r="S4" s="42">
        <v>40.6</v>
      </c>
      <c r="T4" s="41">
        <v>7.8</v>
      </c>
      <c r="U4" s="43">
        <v>-10</v>
      </c>
      <c r="V4" s="44">
        <v>-10</v>
      </c>
      <c r="W4" s="45">
        <v>1</v>
      </c>
      <c r="X4" s="137">
        <f aca="true" t="shared" si="0" ref="X4:X53">X5-1.35</f>
        <v>-67.63200000000003</v>
      </c>
      <c r="Y4" s="138">
        <f aca="true" t="shared" si="1" ref="Y4:Y33">Y5-1.1</f>
        <v>-33.55000000000002</v>
      </c>
      <c r="Z4" s="137">
        <f aca="true" t="shared" si="2" ref="Z4:Z17">Z5-1.9</f>
        <v>-26.797999999999995</v>
      </c>
      <c r="AA4" s="139">
        <v>0</v>
      </c>
      <c r="AB4" s="140">
        <v>-10</v>
      </c>
      <c r="AC4" s="139">
        <v>-10</v>
      </c>
      <c r="AD4" s="140">
        <f aca="true" t="shared" si="3" ref="AD4:AD57">AD5-1.3</f>
        <v>-70.69099999999993</v>
      </c>
      <c r="AE4" s="138">
        <f aca="true" t="shared" si="4" ref="AE4:AE27">AE5-0.53</f>
        <v>-12.627999999999998</v>
      </c>
      <c r="AF4" s="140">
        <f aca="true" t="shared" si="5" ref="AF4:AF15">AF5-1.25</f>
        <v>-15.397</v>
      </c>
      <c r="AG4" s="138">
        <v>-10</v>
      </c>
      <c r="AH4" s="140">
        <v>-10</v>
      </c>
      <c r="AI4" s="141">
        <v>-10</v>
      </c>
      <c r="AJ4" s="45"/>
      <c r="AK4" s="149">
        <f>POWER(10,U4)/1000</f>
        <v>1E-13</v>
      </c>
      <c r="AL4" s="150">
        <f aca="true" t="shared" si="6" ref="AL4:AY19">POWER(10,V4)/1000</f>
        <v>1E-13</v>
      </c>
      <c r="AM4" s="135">
        <f t="shared" si="6"/>
        <v>0.01</v>
      </c>
      <c r="AN4" s="150">
        <f t="shared" si="6"/>
        <v>2.3334580622807993E-71</v>
      </c>
      <c r="AO4" s="135">
        <f t="shared" si="6"/>
        <v>2.8183829312643154E-37</v>
      </c>
      <c r="AP4" s="150">
        <f t="shared" si="6"/>
        <v>1.592208727051184E-30</v>
      </c>
      <c r="AQ4" s="135">
        <f t="shared" si="6"/>
        <v>0.001</v>
      </c>
      <c r="AR4" s="150">
        <f t="shared" si="6"/>
        <v>1E-13</v>
      </c>
      <c r="AS4" s="135">
        <f t="shared" si="6"/>
        <v>1E-13</v>
      </c>
      <c r="AT4" s="150">
        <f t="shared" si="6"/>
        <v>2.0370420777059997E-74</v>
      </c>
      <c r="AU4" s="135">
        <f t="shared" si="6"/>
        <v>2.3550492838960123E-16</v>
      </c>
      <c r="AV4" s="150">
        <f t="shared" si="6"/>
        <v>4.008667176273014E-19</v>
      </c>
      <c r="AW4" s="135">
        <f t="shared" si="6"/>
        <v>1E-13</v>
      </c>
      <c r="AX4" s="150">
        <f t="shared" si="6"/>
        <v>1E-13</v>
      </c>
      <c r="AY4" s="136">
        <f t="shared" si="6"/>
        <v>1E-13</v>
      </c>
      <c r="AZ4" s="41"/>
      <c r="BA4" s="160">
        <f>(R4+S4*$BE$26+T4*$BE$27)</f>
        <v>17.923592506196155</v>
      </c>
      <c r="BB4" s="161">
        <f>(R4+S4*$BE$35+T4*$BE$36)</f>
        <v>39.89553650971061</v>
      </c>
      <c r="BD4" s="31" t="s">
        <v>65</v>
      </c>
      <c r="BE4" s="32">
        <f>IF(Illuminant_D_Temperature&lt;=7000,((-4607000000*BE3+2967800)*BE3+99.11)*BE3+0.244063,((-2006400000*BE3+1901800)*BE3+247.48)*BE3+0.23704)</f>
        <v>0.345741</v>
      </c>
      <c r="BG4" s="33" t="s">
        <v>133</v>
      </c>
      <c r="BH4" s="34">
        <v>2.95176</v>
      </c>
      <c r="BI4" s="34">
        <v>-1.0851</v>
      </c>
      <c r="BJ4" s="34">
        <v>0.0854804</v>
      </c>
      <c r="BK4" s="34">
        <v>-1.28951</v>
      </c>
      <c r="BL4" s="34">
        <v>1.99084</v>
      </c>
      <c r="BM4" s="34">
        <v>-0.269456</v>
      </c>
      <c r="BN4" s="34">
        <v>-0.47388</v>
      </c>
      <c r="BO4" s="34">
        <v>0.0372023</v>
      </c>
      <c r="BP4" s="34">
        <v>1.09113</v>
      </c>
      <c r="BQ4" s="35">
        <v>1.8</v>
      </c>
    </row>
    <row r="5" spans="2:69" s="30" customFormat="1" ht="12">
      <c r="B5" s="36">
        <v>345</v>
      </c>
      <c r="C5" s="37">
        <v>0</v>
      </c>
      <c r="D5" s="38">
        <v>0</v>
      </c>
      <c r="E5" s="39">
        <v>0</v>
      </c>
      <c r="F5" s="38">
        <v>0</v>
      </c>
      <c r="G5" s="39">
        <v>0</v>
      </c>
      <c r="H5" s="38">
        <v>0</v>
      </c>
      <c r="I5" s="135">
        <f aca="true" t="shared" si="7" ref="I5:I68">(100*$BE$12)/(1E-45*B5*B5*B5*B5*B5*(POWER($BE$11,$BE$13/($BE$17*B5*0.000000001))-1)*$BE$18)</f>
        <v>4.140426782306843</v>
      </c>
      <c r="J5" s="42">
        <v>4</v>
      </c>
      <c r="K5" s="41">
        <v>4.85</v>
      </c>
      <c r="L5" s="52">
        <f>(R5+S5*$BE$7+T5*$BE$8)</f>
        <v>19.451719701646056</v>
      </c>
      <c r="M5" s="41">
        <v>100</v>
      </c>
      <c r="N5" s="41">
        <v>0</v>
      </c>
      <c r="O5" s="42">
        <v>0</v>
      </c>
      <c r="P5" s="41">
        <v>0</v>
      </c>
      <c r="Q5" s="42">
        <f aca="true" t="shared" si="8" ref="Q5:Q68">(100*$BE$12)/(1E-45*B5*B5*B5*B5*B5*(POWER($BE$11,$BE$13/(Blackbody_Temperature*B5*0.000000001))-1)*$BE$14)</f>
        <v>45.568651959602754</v>
      </c>
      <c r="R5" s="41">
        <f>AVERAGE(R6,R4)</f>
        <v>59.55</v>
      </c>
      <c r="S5" s="42">
        <f>AVERAGE(S6,S4)</f>
        <v>41.1</v>
      </c>
      <c r="T5" s="41">
        <f>AVERAGE(T6,T4)</f>
        <v>7.25</v>
      </c>
      <c r="U5" s="43">
        <v>-10</v>
      </c>
      <c r="V5" s="44">
        <v>-10</v>
      </c>
      <c r="W5" s="45">
        <f>AVERAGE(W4,W6)</f>
        <v>1.854</v>
      </c>
      <c r="X5" s="140">
        <f t="shared" si="0"/>
        <v>-66.28200000000004</v>
      </c>
      <c r="Y5" s="138">
        <f t="shared" si="1"/>
        <v>-32.45000000000002</v>
      </c>
      <c r="Z5" s="140">
        <f t="shared" si="2"/>
        <v>-24.897999999999996</v>
      </c>
      <c r="AA5" s="139">
        <f>AVERAGE(AA4,AA6)</f>
        <v>0</v>
      </c>
      <c r="AB5" s="140">
        <v>-10</v>
      </c>
      <c r="AC5" s="139">
        <v>-10</v>
      </c>
      <c r="AD5" s="140">
        <f t="shared" si="3"/>
        <v>-69.39099999999993</v>
      </c>
      <c r="AE5" s="138">
        <f t="shared" si="4"/>
        <v>-12.097999999999999</v>
      </c>
      <c r="AF5" s="140">
        <f t="shared" si="5"/>
        <v>-14.147</v>
      </c>
      <c r="AG5" s="138">
        <v>-10</v>
      </c>
      <c r="AH5" s="140">
        <v>-10</v>
      </c>
      <c r="AI5" s="141">
        <v>0</v>
      </c>
      <c r="AJ5" s="45"/>
      <c r="AK5" s="149">
        <f aca="true" t="shared" si="9" ref="AK5:AK68">POWER(10,U5)/1000</f>
        <v>1E-13</v>
      </c>
      <c r="AL5" s="151">
        <f t="shared" si="6"/>
        <v>1E-13</v>
      </c>
      <c r="AM5" s="135">
        <f t="shared" si="6"/>
        <v>0.07144963260755136</v>
      </c>
      <c r="AN5" s="151">
        <f t="shared" si="6"/>
        <v>5.2239618899906754E-70</v>
      </c>
      <c r="AO5" s="135">
        <f t="shared" si="6"/>
        <v>3.548133892335594E-36</v>
      </c>
      <c r="AP5" s="151">
        <f t="shared" si="6"/>
        <v>1.2647363474711573E-28</v>
      </c>
      <c r="AQ5" s="135">
        <f t="shared" si="6"/>
        <v>0.001</v>
      </c>
      <c r="AR5" s="151">
        <f t="shared" si="6"/>
        <v>1E-13</v>
      </c>
      <c r="AS5" s="135">
        <f t="shared" si="6"/>
        <v>1E-13</v>
      </c>
      <c r="AT5" s="151">
        <f t="shared" si="6"/>
        <v>4.0644332916526386E-73</v>
      </c>
      <c r="AU5" s="135">
        <f t="shared" si="6"/>
        <v>7.979946872679764E-16</v>
      </c>
      <c r="AV5" s="151">
        <f t="shared" si="6"/>
        <v>7.128530301265186E-18</v>
      </c>
      <c r="AW5" s="135">
        <f t="shared" si="6"/>
        <v>1E-13</v>
      </c>
      <c r="AX5" s="151">
        <f t="shared" si="6"/>
        <v>1E-13</v>
      </c>
      <c r="AY5" s="136">
        <f t="shared" si="6"/>
        <v>0.001</v>
      </c>
      <c r="AZ5" s="41"/>
      <c r="BA5" s="160">
        <f>(R5+S5*$BE$26+T5*$BE$27)</f>
        <v>19.451719701646056</v>
      </c>
      <c r="BB5" s="161">
        <f>(R5+S5*$BE$35+T5*$BE$36)</f>
        <v>42.3759986125247</v>
      </c>
      <c r="BD5" s="31" t="s">
        <v>66</v>
      </c>
      <c r="BE5" s="32">
        <f>(-3*BE4+2.87)*BE4-0.275</f>
        <v>0.3586661527570001</v>
      </c>
      <c r="BG5" s="33" t="s">
        <v>134</v>
      </c>
      <c r="BH5" s="34">
        <v>1.75526</v>
      </c>
      <c r="BI5" s="34">
        <v>-0.544134</v>
      </c>
      <c r="BJ5" s="34">
        <v>0.00634681</v>
      </c>
      <c r="BK5" s="34">
        <v>-0.483679</v>
      </c>
      <c r="BL5" s="34">
        <v>1.50688</v>
      </c>
      <c r="BM5" s="34">
        <v>-0.0175762</v>
      </c>
      <c r="BN5" s="34">
        <v>-0.253</v>
      </c>
      <c r="BO5" s="34">
        <v>0.0215528</v>
      </c>
      <c r="BP5" s="34">
        <v>1.2257</v>
      </c>
      <c r="BQ5" s="35">
        <v>2.2</v>
      </c>
    </row>
    <row r="6" spans="2:69" s="30" customFormat="1" ht="12">
      <c r="B6" s="36">
        <v>350</v>
      </c>
      <c r="C6" s="37">
        <v>0</v>
      </c>
      <c r="D6" s="38">
        <v>0</v>
      </c>
      <c r="E6" s="39">
        <v>0</v>
      </c>
      <c r="F6" s="38">
        <v>0</v>
      </c>
      <c r="G6" s="39">
        <v>0</v>
      </c>
      <c r="H6" s="38">
        <v>0</v>
      </c>
      <c r="I6" s="135">
        <f t="shared" si="7"/>
        <v>4.7467417713279945</v>
      </c>
      <c r="J6" s="42">
        <v>5.6</v>
      </c>
      <c r="K6" s="41">
        <v>7</v>
      </c>
      <c r="L6" s="52">
        <f>(R6+S6*$BE$7+T6*$BE$8)</f>
        <v>20.979846897095964</v>
      </c>
      <c r="M6" s="41">
        <v>100</v>
      </c>
      <c r="N6" s="41">
        <v>0</v>
      </c>
      <c r="O6" s="42">
        <v>0</v>
      </c>
      <c r="P6" s="41">
        <v>0</v>
      </c>
      <c r="Q6" s="42">
        <f t="shared" si="8"/>
        <v>47.773001361604436</v>
      </c>
      <c r="R6" s="41">
        <v>61.8</v>
      </c>
      <c r="S6" s="42">
        <v>41.6</v>
      </c>
      <c r="T6" s="41">
        <v>6.7</v>
      </c>
      <c r="U6" s="43">
        <v>-10</v>
      </c>
      <c r="V6" s="44">
        <v>-10</v>
      </c>
      <c r="W6" s="45">
        <v>2.708</v>
      </c>
      <c r="X6" s="140">
        <f t="shared" si="0"/>
        <v>-64.93200000000004</v>
      </c>
      <c r="Y6" s="138">
        <f t="shared" si="1"/>
        <v>-31.350000000000016</v>
      </c>
      <c r="Z6" s="140">
        <f t="shared" si="2"/>
        <v>-22.997999999999998</v>
      </c>
      <c r="AA6" s="139">
        <v>0</v>
      </c>
      <c r="AB6" s="140">
        <v>-10</v>
      </c>
      <c r="AC6" s="139">
        <v>-10</v>
      </c>
      <c r="AD6" s="140">
        <f t="shared" si="3"/>
        <v>-68.09099999999994</v>
      </c>
      <c r="AE6" s="138">
        <f t="shared" si="4"/>
        <v>-11.568</v>
      </c>
      <c r="AF6" s="140">
        <f t="shared" si="5"/>
        <v>-12.897</v>
      </c>
      <c r="AG6" s="138">
        <v>-10</v>
      </c>
      <c r="AH6" s="140">
        <v>-10</v>
      </c>
      <c r="AI6" s="141">
        <v>1</v>
      </c>
      <c r="AJ6" s="45"/>
      <c r="AK6" s="149">
        <f t="shared" si="9"/>
        <v>1E-13</v>
      </c>
      <c r="AL6" s="151">
        <f t="shared" si="6"/>
        <v>1E-13</v>
      </c>
      <c r="AM6" s="135">
        <f t="shared" si="6"/>
        <v>0.5105049999754069</v>
      </c>
      <c r="AN6" s="151">
        <f t="shared" si="6"/>
        <v>1.1694993910197386E-68</v>
      </c>
      <c r="AO6" s="135">
        <f t="shared" si="6"/>
        <v>4.4668359215094453E-35</v>
      </c>
      <c r="AP6" s="151">
        <f t="shared" si="6"/>
        <v>1.004615790278396E-26</v>
      </c>
      <c r="AQ6" s="135">
        <f t="shared" si="6"/>
        <v>0.001</v>
      </c>
      <c r="AR6" s="151">
        <f t="shared" si="6"/>
        <v>1E-13</v>
      </c>
      <c r="AS6" s="135">
        <f t="shared" si="6"/>
        <v>1E-13</v>
      </c>
      <c r="AT6" s="151">
        <f t="shared" si="6"/>
        <v>8.109610578539557E-72</v>
      </c>
      <c r="AU6" s="135">
        <f t="shared" si="6"/>
        <v>2.7039583641088394E-15</v>
      </c>
      <c r="AV6" s="151">
        <f t="shared" si="6"/>
        <v>1.2676518658578423E-16</v>
      </c>
      <c r="AW6" s="135">
        <f t="shared" si="6"/>
        <v>1E-13</v>
      </c>
      <c r="AX6" s="151">
        <f t="shared" si="6"/>
        <v>1E-13</v>
      </c>
      <c r="AY6" s="136">
        <f t="shared" si="6"/>
        <v>0.01</v>
      </c>
      <c r="AZ6" s="41"/>
      <c r="BA6" s="160">
        <f>(R6+S6*$BE$26+T6*$BE$27)</f>
        <v>20.979846897095964</v>
      </c>
      <c r="BB6" s="161">
        <f>(R6+S6*$BE$35+T6*$BE$36)</f>
        <v>44.85646071533879</v>
      </c>
      <c r="BD6" s="31" t="s">
        <v>67</v>
      </c>
      <c r="BE6" s="32">
        <f>0.0241+0.2562*BE4-0.734*BE5</f>
        <v>-0.15058211192363805</v>
      </c>
      <c r="BG6" s="33" t="s">
        <v>135</v>
      </c>
      <c r="BH6" s="34">
        <v>1.68323</v>
      </c>
      <c r="BI6" s="34">
        <v>-0.771023</v>
      </c>
      <c r="BJ6" s="34">
        <v>0.0400012</v>
      </c>
      <c r="BK6" s="34">
        <v>-0.428236</v>
      </c>
      <c r="BL6" s="34">
        <v>1.70656</v>
      </c>
      <c r="BM6" s="34">
        <v>-0.0885376</v>
      </c>
      <c r="BN6" s="34">
        <v>-0.236018</v>
      </c>
      <c r="BO6" s="34">
        <v>0.0446899</v>
      </c>
      <c r="BP6" s="34">
        <v>1.27236</v>
      </c>
      <c r="BQ6" s="35">
        <v>2.2</v>
      </c>
    </row>
    <row r="7" spans="2:69" s="30" customFormat="1" ht="12">
      <c r="B7" s="36">
        <v>355</v>
      </c>
      <c r="C7" s="37">
        <v>0</v>
      </c>
      <c r="D7" s="38">
        <v>0</v>
      </c>
      <c r="E7" s="39">
        <v>0</v>
      </c>
      <c r="F7" s="38">
        <v>0</v>
      </c>
      <c r="G7" s="39">
        <v>0</v>
      </c>
      <c r="H7" s="38">
        <v>0</v>
      </c>
      <c r="I7" s="135">
        <f t="shared" si="7"/>
        <v>5.415484754916807</v>
      </c>
      <c r="J7" s="42">
        <v>7.6</v>
      </c>
      <c r="K7" s="41">
        <v>9.95</v>
      </c>
      <c r="L7" s="52">
        <f>(R7+S7*$BE$7+T7*$BE$8)</f>
        <v>22.445701075985284</v>
      </c>
      <c r="M7" s="41">
        <v>100</v>
      </c>
      <c r="N7" s="41">
        <v>0</v>
      </c>
      <c r="O7" s="42">
        <v>0</v>
      </c>
      <c r="P7" s="41">
        <v>0</v>
      </c>
      <c r="Q7" s="42">
        <f t="shared" si="8"/>
        <v>49.9672680725891</v>
      </c>
      <c r="R7" s="41">
        <f>AVERAGE(R8,R6)</f>
        <v>61.65</v>
      </c>
      <c r="S7" s="42">
        <f>AVERAGE(S8,S6)</f>
        <v>39.8</v>
      </c>
      <c r="T7" s="41">
        <f>AVERAGE(T8,T6)</f>
        <v>6</v>
      </c>
      <c r="U7" s="43">
        <v>-10</v>
      </c>
      <c r="V7" s="44">
        <v>-10</v>
      </c>
      <c r="W7" s="45">
        <f>AVERAGE(W6,W8)</f>
        <v>3.494</v>
      </c>
      <c r="X7" s="140">
        <f t="shared" si="0"/>
        <v>-63.58200000000004</v>
      </c>
      <c r="Y7" s="138">
        <f t="shared" si="1"/>
        <v>-30.250000000000014</v>
      </c>
      <c r="Z7" s="140">
        <f t="shared" si="2"/>
        <v>-21.098</v>
      </c>
      <c r="AA7" s="139">
        <f>AVERAGE(AA6,AA8)</f>
        <v>0</v>
      </c>
      <c r="AB7" s="140">
        <v>-10</v>
      </c>
      <c r="AC7" s="139">
        <v>-10</v>
      </c>
      <c r="AD7" s="140">
        <f t="shared" si="3"/>
        <v>-66.79099999999994</v>
      </c>
      <c r="AE7" s="138">
        <f t="shared" si="4"/>
        <v>-11.038</v>
      </c>
      <c r="AF7" s="140">
        <f t="shared" si="5"/>
        <v>-11.647</v>
      </c>
      <c r="AG7" s="138">
        <v>-10</v>
      </c>
      <c r="AH7" s="140">
        <v>-10</v>
      </c>
      <c r="AI7" s="141">
        <f>AVERAGE(AI6,AI8)</f>
        <v>1.1505</v>
      </c>
      <c r="AJ7" s="45"/>
      <c r="AK7" s="149">
        <f t="shared" si="9"/>
        <v>1E-13</v>
      </c>
      <c r="AL7" s="151">
        <f t="shared" si="6"/>
        <v>1E-13</v>
      </c>
      <c r="AM7" s="135">
        <f t="shared" si="6"/>
        <v>3.1188895840939415</v>
      </c>
      <c r="AN7" s="151">
        <f t="shared" si="6"/>
        <v>2.618183008218656E-67</v>
      </c>
      <c r="AO7" s="135">
        <f t="shared" si="6"/>
        <v>5.6234132519032785E-34</v>
      </c>
      <c r="AP7" s="151">
        <f t="shared" si="6"/>
        <v>7.979946872679741E-25</v>
      </c>
      <c r="AQ7" s="135">
        <f t="shared" si="6"/>
        <v>0.001</v>
      </c>
      <c r="AR7" s="151">
        <f t="shared" si="6"/>
        <v>1E-13</v>
      </c>
      <c r="AS7" s="135">
        <f t="shared" si="6"/>
        <v>1E-13</v>
      </c>
      <c r="AT7" s="151">
        <f t="shared" si="6"/>
        <v>1.6180800376432752E-70</v>
      </c>
      <c r="AU7" s="135">
        <f t="shared" si="6"/>
        <v>9.162204901219967E-15</v>
      </c>
      <c r="AV7" s="151">
        <f t="shared" si="6"/>
        <v>2.2542392121524207E-15</v>
      </c>
      <c r="AW7" s="135">
        <f t="shared" si="6"/>
        <v>1E-13</v>
      </c>
      <c r="AX7" s="151">
        <f t="shared" si="6"/>
        <v>1E-13</v>
      </c>
      <c r="AY7" s="136">
        <f t="shared" si="6"/>
        <v>0.014141647250701545</v>
      </c>
      <c r="AZ7" s="41"/>
      <c r="BA7" s="160">
        <f>(R7+S7*$BE$26+T7*$BE$27)</f>
        <v>22.445701075985284</v>
      </c>
      <c r="BB7" s="161">
        <f>(R7+S7*$BE$35+T7*$BE$36)</f>
        <v>45.72194017075071</v>
      </c>
      <c r="BD7" s="31" t="s">
        <v>68</v>
      </c>
      <c r="BE7" s="32">
        <f>(-1.3515-1.7703*BE4+5.9114*BE5)/BE6</f>
        <v>-1.040321463861336</v>
      </c>
      <c r="BG7" s="33" t="s">
        <v>136</v>
      </c>
      <c r="BH7" s="34">
        <v>2.74566</v>
      </c>
      <c r="BI7" s="34">
        <v>-0.969257</v>
      </c>
      <c r="BJ7" s="34">
        <v>0.0112707</v>
      </c>
      <c r="BK7" s="34">
        <v>-1.13589</v>
      </c>
      <c r="BL7" s="34">
        <v>1.87599</v>
      </c>
      <c r="BM7" s="34">
        <v>-0.113959</v>
      </c>
      <c r="BN7" s="34">
        <v>-0.435057</v>
      </c>
      <c r="BO7" s="34">
        <v>0.0415557</v>
      </c>
      <c r="BP7" s="34">
        <v>1.01311</v>
      </c>
      <c r="BQ7" s="35">
        <v>2.2</v>
      </c>
    </row>
    <row r="8" spans="2:69" ht="12.75" thickBot="1">
      <c r="B8" s="49">
        <v>360</v>
      </c>
      <c r="C8" s="50">
        <v>0.0001299</v>
      </c>
      <c r="D8" s="50">
        <v>3.917E-06</v>
      </c>
      <c r="E8" s="51">
        <v>0.0006061</v>
      </c>
      <c r="F8" s="50">
        <v>1.222E-07</v>
      </c>
      <c r="G8" s="51">
        <v>1.3398E-08</v>
      </c>
      <c r="H8" s="50">
        <v>5.35027E-07</v>
      </c>
      <c r="I8" s="135">
        <f t="shared" si="7"/>
        <v>6.1498459798273215</v>
      </c>
      <c r="J8" s="52">
        <v>9.6</v>
      </c>
      <c r="K8" s="53">
        <v>12.9</v>
      </c>
      <c r="L8" s="52">
        <f aca="true" t="shared" si="10" ref="L8:L39">(R8+S8*$BE$7+T8*$BE$8)</f>
        <v>23.911555254874607</v>
      </c>
      <c r="M8" s="53">
        <v>100</v>
      </c>
      <c r="N8" s="41">
        <v>0</v>
      </c>
      <c r="O8" s="42">
        <v>0</v>
      </c>
      <c r="P8" s="41">
        <v>0</v>
      </c>
      <c r="Q8" s="42">
        <f t="shared" si="8"/>
        <v>52.14633904116821</v>
      </c>
      <c r="R8" s="53">
        <v>61.5</v>
      </c>
      <c r="S8" s="52">
        <v>38</v>
      </c>
      <c r="T8" s="53">
        <v>5.3</v>
      </c>
      <c r="U8" s="43">
        <v>-10</v>
      </c>
      <c r="V8" s="47">
        <v>1</v>
      </c>
      <c r="W8" s="46">
        <v>4.28</v>
      </c>
      <c r="X8" s="140">
        <f t="shared" si="0"/>
        <v>-62.23200000000004</v>
      </c>
      <c r="Y8" s="138">
        <f t="shared" si="1"/>
        <v>-29.150000000000013</v>
      </c>
      <c r="Z8" s="140">
        <f t="shared" si="2"/>
        <v>-19.198</v>
      </c>
      <c r="AA8" s="138">
        <v>0</v>
      </c>
      <c r="AB8" s="140">
        <v>-10</v>
      </c>
      <c r="AC8" s="138">
        <v>-10</v>
      </c>
      <c r="AD8" s="140">
        <f t="shared" si="3"/>
        <v>-65.49099999999994</v>
      </c>
      <c r="AE8" s="138">
        <f t="shared" si="4"/>
        <v>-10.508000000000001</v>
      </c>
      <c r="AF8" s="140">
        <f t="shared" si="5"/>
        <v>-10.397</v>
      </c>
      <c r="AG8" s="138">
        <v>-10</v>
      </c>
      <c r="AH8" s="140">
        <v>-10</v>
      </c>
      <c r="AI8" s="142">
        <v>1.301</v>
      </c>
      <c r="AJ8" s="46"/>
      <c r="AK8" s="149">
        <f t="shared" si="9"/>
        <v>1E-13</v>
      </c>
      <c r="AL8" s="151">
        <f t="shared" si="6"/>
        <v>0.01</v>
      </c>
      <c r="AM8" s="135">
        <f t="shared" si="6"/>
        <v>19.054607179632505</v>
      </c>
      <c r="AN8" s="151">
        <f t="shared" si="6"/>
        <v>5.861381645139639E-66</v>
      </c>
      <c r="AO8" s="135">
        <f t="shared" si="6"/>
        <v>7.079457843841136E-33</v>
      </c>
      <c r="AP8" s="151">
        <f t="shared" si="6"/>
        <v>6.338697112569224E-23</v>
      </c>
      <c r="AQ8" s="135">
        <f t="shared" si="6"/>
        <v>0.001</v>
      </c>
      <c r="AR8" s="151">
        <f t="shared" si="6"/>
        <v>1E-13</v>
      </c>
      <c r="AS8" s="135">
        <f t="shared" si="6"/>
        <v>1E-13</v>
      </c>
      <c r="AT8" s="151">
        <f t="shared" si="6"/>
        <v>3.228494121713013E-69</v>
      </c>
      <c r="AU8" s="135">
        <f t="shared" si="6"/>
        <v>3.104559588128341E-14</v>
      </c>
      <c r="AV8" s="151">
        <f t="shared" si="6"/>
        <v>4.008667176273022E-14</v>
      </c>
      <c r="AW8" s="135">
        <f t="shared" si="6"/>
        <v>1E-13</v>
      </c>
      <c r="AX8" s="151">
        <f t="shared" si="6"/>
        <v>1E-13</v>
      </c>
      <c r="AY8" s="136">
        <f t="shared" si="6"/>
        <v>0.019998618696327446</v>
      </c>
      <c r="AZ8" s="41"/>
      <c r="BA8" s="160">
        <f>(R8+S8*$BE$26+T8*$BE$27)</f>
        <v>23.911555254874607</v>
      </c>
      <c r="BB8" s="161">
        <f>(R8+S8*$BE$35+T8*$BE$36)</f>
        <v>46.58741962616263</v>
      </c>
      <c r="BD8" s="54" t="s">
        <v>69</v>
      </c>
      <c r="BE8" s="55">
        <f>(0.03-31.4424*BE4+30.0717*BE5)/BE6</f>
        <v>0.3667492229444103</v>
      </c>
      <c r="BG8" s="33" t="s">
        <v>137</v>
      </c>
      <c r="BH8" s="34">
        <v>2.37067</v>
      </c>
      <c r="BI8" s="34">
        <v>-0.513885</v>
      </c>
      <c r="BJ8" s="34">
        <v>0.00529818</v>
      </c>
      <c r="BK8" s="34">
        <v>-0.90004</v>
      </c>
      <c r="BL8" s="34">
        <v>1.4253</v>
      </c>
      <c r="BM8" s="34">
        <v>-0.0146949</v>
      </c>
      <c r="BN8" s="34">
        <v>-0.470634</v>
      </c>
      <c r="BO8" s="34">
        <v>0.0885814</v>
      </c>
      <c r="BP8" s="34">
        <v>1.0094</v>
      </c>
      <c r="BQ8" s="35">
        <v>2.2</v>
      </c>
    </row>
    <row r="9" spans="2:69" ht="12.75" thickBot="1">
      <c r="B9" s="49">
        <v>365</v>
      </c>
      <c r="C9" s="50">
        <v>0.0002321</v>
      </c>
      <c r="D9" s="50">
        <v>6.965E-06</v>
      </c>
      <c r="E9" s="51">
        <v>0.001086</v>
      </c>
      <c r="F9" s="50">
        <v>9.1927E-07</v>
      </c>
      <c r="G9" s="51">
        <v>1.0065E-07</v>
      </c>
      <c r="H9" s="50">
        <v>4.0283E-06</v>
      </c>
      <c r="I9" s="135">
        <f t="shared" si="7"/>
        <v>6.952883197193793</v>
      </c>
      <c r="J9" s="52">
        <v>12.4</v>
      </c>
      <c r="K9" s="53">
        <v>17.2</v>
      </c>
      <c r="L9" s="52">
        <f t="shared" si="10"/>
        <v>24.899386991626763</v>
      </c>
      <c r="M9" s="53">
        <v>100</v>
      </c>
      <c r="N9" s="41">
        <v>0</v>
      </c>
      <c r="O9" s="42">
        <v>0</v>
      </c>
      <c r="P9" s="41">
        <v>0</v>
      </c>
      <c r="Q9" s="42">
        <f t="shared" si="8"/>
        <v>54.30536985358692</v>
      </c>
      <c r="R9" s="53">
        <v>65.15</v>
      </c>
      <c r="S9" s="52">
        <v>40.7</v>
      </c>
      <c r="T9" s="53">
        <v>5.7</v>
      </c>
      <c r="U9" s="43">
        <v>-10</v>
      </c>
      <c r="V9" s="47">
        <f>AVERAGE(V8,V10)</f>
        <v>1.3199999999999998</v>
      </c>
      <c r="W9" s="46">
        <f>AVERAGE(W8,W10)</f>
        <v>4.4315</v>
      </c>
      <c r="X9" s="140">
        <f t="shared" si="0"/>
        <v>-60.88200000000004</v>
      </c>
      <c r="Y9" s="138">
        <f t="shared" si="1"/>
        <v>-28.05000000000001</v>
      </c>
      <c r="Z9" s="140">
        <f t="shared" si="2"/>
        <v>-17.298000000000002</v>
      </c>
      <c r="AA9" s="138">
        <f>AVERAGE(AA8,AA10)</f>
        <v>0</v>
      </c>
      <c r="AB9" s="140">
        <v>-10</v>
      </c>
      <c r="AC9" s="138">
        <v>-10</v>
      </c>
      <c r="AD9" s="140">
        <f t="shared" si="3"/>
        <v>-64.19099999999995</v>
      </c>
      <c r="AE9" s="138">
        <f t="shared" si="4"/>
        <v>-9.978000000000002</v>
      </c>
      <c r="AF9" s="140">
        <f t="shared" si="5"/>
        <v>-9.147</v>
      </c>
      <c r="AG9" s="138">
        <v>-10</v>
      </c>
      <c r="AH9" s="140">
        <v>-10</v>
      </c>
      <c r="AI9" s="142">
        <f>AVERAGE(AI8,AI10)</f>
        <v>1.6505</v>
      </c>
      <c r="AJ9" s="46"/>
      <c r="AK9" s="149">
        <f t="shared" si="9"/>
        <v>1E-13</v>
      </c>
      <c r="AL9" s="151">
        <f t="shared" si="6"/>
        <v>0.020892961308540393</v>
      </c>
      <c r="AM9" s="135">
        <f t="shared" si="6"/>
        <v>27.008471083246608</v>
      </c>
      <c r="AN9" s="151">
        <f t="shared" si="6"/>
        <v>1.3121998990190788E-64</v>
      </c>
      <c r="AO9" s="135">
        <f t="shared" si="6"/>
        <v>8.912509381337185E-32</v>
      </c>
      <c r="AP9" s="151">
        <f t="shared" si="6"/>
        <v>5.035006087878992E-21</v>
      </c>
      <c r="AQ9" s="135">
        <f t="shared" si="6"/>
        <v>0.001</v>
      </c>
      <c r="AR9" s="151">
        <f t="shared" si="6"/>
        <v>1E-13</v>
      </c>
      <c r="AS9" s="135">
        <f t="shared" si="6"/>
        <v>1E-13</v>
      </c>
      <c r="AT9" s="151">
        <f t="shared" si="6"/>
        <v>6.441692655152446E-68</v>
      </c>
      <c r="AU9" s="135">
        <f t="shared" si="6"/>
        <v>1.0519618738232163E-13</v>
      </c>
      <c r="AV9" s="151">
        <f t="shared" si="6"/>
        <v>7.128530301265175E-13</v>
      </c>
      <c r="AW9" s="135">
        <f t="shared" si="6"/>
        <v>1E-13</v>
      </c>
      <c r="AX9" s="151">
        <f t="shared" si="6"/>
        <v>1E-13</v>
      </c>
      <c r="AY9" s="136">
        <f t="shared" si="6"/>
        <v>0.044719815178875084</v>
      </c>
      <c r="AZ9" s="41"/>
      <c r="BA9" s="160">
        <f aca="true" t="shared" si="11" ref="BA9:BA72">(R9+S9*$BE$26+T9*$BE$27)</f>
        <v>24.899386991626763</v>
      </c>
      <c r="BB9" s="161">
        <f aca="true" t="shared" si="12" ref="BB9:BB72">(R9+S9*$BE$35+T9*$BE$36)</f>
        <v>49.16171647535921</v>
      </c>
      <c r="BG9" s="33" t="s">
        <v>138</v>
      </c>
      <c r="BH9" s="34">
        <v>2.64229</v>
      </c>
      <c r="BI9" s="34">
        <v>-1.11198</v>
      </c>
      <c r="BJ9" s="34">
        <v>0.0821698</v>
      </c>
      <c r="BK9" s="34">
        <v>-1.22343</v>
      </c>
      <c r="BL9" s="34">
        <v>2.05902</v>
      </c>
      <c r="BM9" s="34">
        <v>-0.280725</v>
      </c>
      <c r="BN9" s="34">
        <v>-0.393014</v>
      </c>
      <c r="BO9" s="34">
        <v>0.0159614</v>
      </c>
      <c r="BP9" s="34">
        <v>1.45599</v>
      </c>
      <c r="BQ9" s="35">
        <v>1.8</v>
      </c>
    </row>
    <row r="10" spans="2:69" ht="12.75" thickBot="1">
      <c r="B10" s="49">
        <v>370</v>
      </c>
      <c r="C10" s="50">
        <v>0.0004149</v>
      </c>
      <c r="D10" s="50">
        <v>1.239E-05</v>
      </c>
      <c r="E10" s="51">
        <v>0.001946</v>
      </c>
      <c r="F10" s="50">
        <v>5.9586E-06</v>
      </c>
      <c r="G10" s="51">
        <v>6.511E-07</v>
      </c>
      <c r="H10" s="50">
        <v>2.61437E-05</v>
      </c>
      <c r="I10" s="135">
        <f t="shared" si="7"/>
        <v>7.82750035752819</v>
      </c>
      <c r="J10" s="52">
        <v>15.2</v>
      </c>
      <c r="K10" s="53">
        <v>21.4</v>
      </c>
      <c r="L10" s="52">
        <f t="shared" si="10"/>
        <v>25.887218728378915</v>
      </c>
      <c r="M10" s="53">
        <v>100</v>
      </c>
      <c r="N10" s="41">
        <v>0</v>
      </c>
      <c r="O10" s="42">
        <v>0</v>
      </c>
      <c r="P10" s="41">
        <v>0</v>
      </c>
      <c r="Q10" s="42">
        <f t="shared" si="8"/>
        <v>56.43979612069311</v>
      </c>
      <c r="R10" s="53">
        <v>68.8</v>
      </c>
      <c r="S10" s="52">
        <v>43.4</v>
      </c>
      <c r="T10" s="53">
        <v>6.1</v>
      </c>
      <c r="U10" s="43">
        <v>-10</v>
      </c>
      <c r="V10" s="47">
        <v>1.64</v>
      </c>
      <c r="W10" s="46">
        <v>4.583</v>
      </c>
      <c r="X10" s="140">
        <f t="shared" si="0"/>
        <v>-59.53200000000004</v>
      </c>
      <c r="Y10" s="138">
        <f t="shared" si="1"/>
        <v>-26.95000000000001</v>
      </c>
      <c r="Z10" s="140">
        <f t="shared" si="2"/>
        <v>-15.398000000000001</v>
      </c>
      <c r="AA10" s="138">
        <v>0</v>
      </c>
      <c r="AB10" s="140">
        <v>-10</v>
      </c>
      <c r="AC10" s="138">
        <v>1</v>
      </c>
      <c r="AD10" s="140">
        <f t="shared" si="3"/>
        <v>-62.89099999999995</v>
      </c>
      <c r="AE10" s="138">
        <f t="shared" si="4"/>
        <v>-9.448000000000002</v>
      </c>
      <c r="AF10" s="140">
        <f t="shared" si="5"/>
        <v>-7.897</v>
      </c>
      <c r="AG10" s="138">
        <v>-10</v>
      </c>
      <c r="AH10" s="140">
        <v>-10</v>
      </c>
      <c r="AI10" s="142">
        <v>2</v>
      </c>
      <c r="AJ10" s="46"/>
      <c r="AK10" s="149">
        <f t="shared" si="9"/>
        <v>1E-13</v>
      </c>
      <c r="AL10" s="151">
        <f t="shared" si="6"/>
        <v>0.04365158322401661</v>
      </c>
      <c r="AM10" s="135">
        <f t="shared" si="6"/>
        <v>38.2824743316823</v>
      </c>
      <c r="AN10" s="151">
        <f t="shared" si="6"/>
        <v>2.9376496519612145E-63</v>
      </c>
      <c r="AO10" s="135">
        <f t="shared" si="6"/>
        <v>1.1220184543019334E-30</v>
      </c>
      <c r="AP10" s="151">
        <f t="shared" si="6"/>
        <v>3.9994474976109436E-19</v>
      </c>
      <c r="AQ10" s="135">
        <f t="shared" si="6"/>
        <v>0.001</v>
      </c>
      <c r="AR10" s="151">
        <f t="shared" si="6"/>
        <v>1E-13</v>
      </c>
      <c r="AS10" s="135">
        <f t="shared" si="6"/>
        <v>0.01</v>
      </c>
      <c r="AT10" s="151">
        <f t="shared" si="6"/>
        <v>1.2852866599437336E-66</v>
      </c>
      <c r="AU10" s="135">
        <f t="shared" si="6"/>
        <v>3.5645113342624147E-13</v>
      </c>
      <c r="AV10" s="151">
        <f t="shared" si="6"/>
        <v>1.2676518658578448E-11</v>
      </c>
      <c r="AW10" s="135">
        <f t="shared" si="6"/>
        <v>1E-13</v>
      </c>
      <c r="AX10" s="151">
        <f t="shared" si="6"/>
        <v>1E-13</v>
      </c>
      <c r="AY10" s="136">
        <f t="shared" si="6"/>
        <v>0.1</v>
      </c>
      <c r="AZ10" s="41"/>
      <c r="BA10" s="160">
        <f t="shared" si="11"/>
        <v>25.887218728378915</v>
      </c>
      <c r="BB10" s="161">
        <f t="shared" si="12"/>
        <v>51.73601332455578</v>
      </c>
      <c r="BD10" s="180" t="s">
        <v>62</v>
      </c>
      <c r="BE10" s="181"/>
      <c r="BG10" s="33" t="s">
        <v>139</v>
      </c>
      <c r="BH10" s="34">
        <v>1.76039</v>
      </c>
      <c r="BI10" s="34">
        <v>-0.712629</v>
      </c>
      <c r="BJ10" s="34">
        <v>0.00782072</v>
      </c>
      <c r="BK10" s="34">
        <v>-0.48812</v>
      </c>
      <c r="BL10" s="34">
        <v>1.65274</v>
      </c>
      <c r="BM10" s="34">
        <v>-0.0347411</v>
      </c>
      <c r="BN10" s="34">
        <v>-0.253613</v>
      </c>
      <c r="BO10" s="34">
        <v>0.0416715</v>
      </c>
      <c r="BP10" s="34">
        <v>1.24477</v>
      </c>
      <c r="BQ10" s="35">
        <v>2.2</v>
      </c>
    </row>
    <row r="11" spans="2:69" ht="12">
      <c r="B11" s="49">
        <v>375</v>
      </c>
      <c r="C11" s="50">
        <v>0.0007416</v>
      </c>
      <c r="D11" s="50">
        <v>2.202E-05</v>
      </c>
      <c r="E11" s="51">
        <v>0.003486</v>
      </c>
      <c r="F11" s="50">
        <v>3.3266E-05</v>
      </c>
      <c r="G11" s="51">
        <v>3.625E-06</v>
      </c>
      <c r="H11" s="50">
        <v>0.00014622</v>
      </c>
      <c r="I11" s="135">
        <f t="shared" si="7"/>
        <v>8.776427922340373</v>
      </c>
      <c r="J11" s="52">
        <v>18.8</v>
      </c>
      <c r="K11" s="53">
        <v>27.5</v>
      </c>
      <c r="L11" s="52">
        <f t="shared" si="10"/>
        <v>25.167545019275348</v>
      </c>
      <c r="M11" s="53">
        <v>100</v>
      </c>
      <c r="N11" s="41">
        <v>0</v>
      </c>
      <c r="O11" s="42">
        <v>0</v>
      </c>
      <c r="P11" s="41">
        <v>0</v>
      </c>
      <c r="Q11" s="42">
        <f t="shared" si="8"/>
        <v>58.54534148185295</v>
      </c>
      <c r="R11" s="53">
        <v>66.1</v>
      </c>
      <c r="S11" s="52">
        <v>40.95</v>
      </c>
      <c r="T11" s="53">
        <v>4.55</v>
      </c>
      <c r="U11" s="43">
        <v>-10</v>
      </c>
      <c r="V11" s="47">
        <f>AVERAGE(V10,V12)</f>
        <v>2.25</v>
      </c>
      <c r="W11" s="46">
        <f>AVERAGE(W10,W12)</f>
        <v>4.6715</v>
      </c>
      <c r="X11" s="140">
        <f t="shared" si="0"/>
        <v>-58.18200000000004</v>
      </c>
      <c r="Y11" s="138">
        <f t="shared" si="1"/>
        <v>-25.85000000000001</v>
      </c>
      <c r="Z11" s="140">
        <f t="shared" si="2"/>
        <v>-13.498000000000001</v>
      </c>
      <c r="AA11" s="138">
        <f>AVERAGE(AA10,AA12)</f>
        <v>0</v>
      </c>
      <c r="AB11" s="140">
        <v>-10</v>
      </c>
      <c r="AC11" s="138">
        <f>AVERAGE(AC10,AC12)</f>
        <v>1.7155</v>
      </c>
      <c r="AD11" s="140">
        <f t="shared" si="3"/>
        <v>-61.59099999999995</v>
      </c>
      <c r="AE11" s="138">
        <f t="shared" si="4"/>
        <v>-8.918000000000003</v>
      </c>
      <c r="AF11" s="140">
        <f t="shared" si="5"/>
        <v>-6.647</v>
      </c>
      <c r="AG11" s="138">
        <v>-10</v>
      </c>
      <c r="AH11" s="140">
        <v>-10</v>
      </c>
      <c r="AI11" s="142">
        <f>AVERAGE(AI10,AI12)</f>
        <v>2.2385</v>
      </c>
      <c r="AJ11" s="46"/>
      <c r="AK11" s="149">
        <f t="shared" si="9"/>
        <v>1E-13</v>
      </c>
      <c r="AL11" s="151">
        <f t="shared" si="6"/>
        <v>0.17782794100389243</v>
      </c>
      <c r="AM11" s="135">
        <f t="shared" si="6"/>
        <v>46.93534343171956</v>
      </c>
      <c r="AN11" s="151">
        <f t="shared" si="6"/>
        <v>6.576578373553599E-62</v>
      </c>
      <c r="AO11" s="135">
        <f t="shared" si="6"/>
        <v>1.4125375446227216E-29</v>
      </c>
      <c r="AP11" s="151">
        <f t="shared" si="6"/>
        <v>3.176874070649756E-17</v>
      </c>
      <c r="AQ11" s="135">
        <f t="shared" si="6"/>
        <v>0.001</v>
      </c>
      <c r="AR11" s="151">
        <f t="shared" si="6"/>
        <v>1E-13</v>
      </c>
      <c r="AS11" s="135">
        <f t="shared" si="6"/>
        <v>0.05193976735070078</v>
      </c>
      <c r="AT11" s="151">
        <f t="shared" si="6"/>
        <v>2.5644840365179944E-65</v>
      </c>
      <c r="AU11" s="135">
        <f t="shared" si="6"/>
        <v>1.207813835106769E-12</v>
      </c>
      <c r="AV11" s="151">
        <f t="shared" si="6"/>
        <v>2.254239212152425E-10</v>
      </c>
      <c r="AW11" s="135">
        <f t="shared" si="6"/>
        <v>1E-13</v>
      </c>
      <c r="AX11" s="151">
        <f t="shared" si="6"/>
        <v>1E-13</v>
      </c>
      <c r="AY11" s="136">
        <f t="shared" si="6"/>
        <v>0.17318090307501158</v>
      </c>
      <c r="AZ11" s="41"/>
      <c r="BA11" s="160">
        <f t="shared" si="11"/>
        <v>25.167545019275348</v>
      </c>
      <c r="BB11" s="161">
        <f t="shared" si="12"/>
        <v>50.829372954881855</v>
      </c>
      <c r="BD11" s="31" t="s">
        <v>70</v>
      </c>
      <c r="BE11" s="32">
        <v>2.71828182845904</v>
      </c>
      <c r="BG11" s="33" t="s">
        <v>140</v>
      </c>
      <c r="BH11" s="34">
        <v>1.78276</v>
      </c>
      <c r="BI11" s="34">
        <v>-0.959362</v>
      </c>
      <c r="BJ11" s="34">
        <v>0.0859318</v>
      </c>
      <c r="BK11" s="34">
        <v>-0.496985</v>
      </c>
      <c r="BL11" s="34">
        <v>1.9478</v>
      </c>
      <c r="BM11" s="34">
        <v>-0.174467</v>
      </c>
      <c r="BN11" s="34">
        <v>-0.26901</v>
      </c>
      <c r="BO11" s="34">
        <v>-0.0275807</v>
      </c>
      <c r="BP11" s="34">
        <v>1.32283</v>
      </c>
      <c r="BQ11" s="35">
        <v>1.8</v>
      </c>
    </row>
    <row r="12" spans="2:69" ht="12">
      <c r="B12" s="49">
        <v>380</v>
      </c>
      <c r="C12" s="50">
        <v>0.001368</v>
      </c>
      <c r="D12" s="50">
        <v>3.9E-05</v>
      </c>
      <c r="E12" s="51">
        <v>0.006450001</v>
      </c>
      <c r="F12" s="50">
        <v>0.000159952</v>
      </c>
      <c r="G12" s="51">
        <v>1.7364E-05</v>
      </c>
      <c r="H12" s="50">
        <v>0.000704776</v>
      </c>
      <c r="I12" s="135">
        <f t="shared" si="7"/>
        <v>9.802204944797378</v>
      </c>
      <c r="J12" s="52">
        <v>22.4</v>
      </c>
      <c r="K12" s="53">
        <v>33</v>
      </c>
      <c r="L12" s="52">
        <f t="shared" si="10"/>
        <v>24.447871310171788</v>
      </c>
      <c r="M12" s="53">
        <v>100</v>
      </c>
      <c r="N12" s="53">
        <v>1.18</v>
      </c>
      <c r="O12" s="52">
        <v>2.56</v>
      </c>
      <c r="P12" s="53">
        <v>0.91</v>
      </c>
      <c r="Q12" s="42">
        <f t="shared" si="8"/>
        <v>60.61802253647251</v>
      </c>
      <c r="R12" s="53">
        <v>63.4</v>
      </c>
      <c r="S12" s="52">
        <v>38.5</v>
      </c>
      <c r="T12" s="53">
        <v>3</v>
      </c>
      <c r="U12" s="43">
        <v>-10</v>
      </c>
      <c r="V12" s="47">
        <v>2.86</v>
      </c>
      <c r="W12" s="46">
        <v>4.76</v>
      </c>
      <c r="X12" s="140">
        <f t="shared" si="0"/>
        <v>-56.832000000000036</v>
      </c>
      <c r="Y12" s="138">
        <f t="shared" si="1"/>
        <v>-24.750000000000007</v>
      </c>
      <c r="Z12" s="140">
        <f t="shared" si="2"/>
        <v>-11.598</v>
      </c>
      <c r="AA12" s="138">
        <v>0</v>
      </c>
      <c r="AB12" s="140">
        <v>-10</v>
      </c>
      <c r="AC12" s="138">
        <v>2.431</v>
      </c>
      <c r="AD12" s="140">
        <f t="shared" si="3"/>
        <v>-60.290999999999954</v>
      </c>
      <c r="AE12" s="138">
        <f t="shared" si="4"/>
        <v>-8.388000000000003</v>
      </c>
      <c r="AF12" s="140">
        <f t="shared" si="5"/>
        <v>-5.397</v>
      </c>
      <c r="AG12" s="138">
        <v>-10</v>
      </c>
      <c r="AH12" s="140">
        <v>-10</v>
      </c>
      <c r="AI12" s="142">
        <v>2.477</v>
      </c>
      <c r="AJ12" s="46"/>
      <c r="AK12" s="149">
        <f t="shared" si="9"/>
        <v>1E-13</v>
      </c>
      <c r="AL12" s="151">
        <f t="shared" si="6"/>
        <v>0.7244359600749902</v>
      </c>
      <c r="AM12" s="135">
        <f t="shared" si="6"/>
        <v>57.54399373371573</v>
      </c>
      <c r="AN12" s="151">
        <f t="shared" si="6"/>
        <v>1.4723125024325643E-60</v>
      </c>
      <c r="AO12" s="135">
        <f t="shared" si="6"/>
        <v>1.7782794100388882E-28</v>
      </c>
      <c r="AP12" s="151">
        <f t="shared" si="6"/>
        <v>2.5234807724805617E-15</v>
      </c>
      <c r="AQ12" s="135">
        <f t="shared" si="6"/>
        <v>0.001</v>
      </c>
      <c r="AR12" s="151">
        <f t="shared" si="6"/>
        <v>1E-13</v>
      </c>
      <c r="AS12" s="135">
        <f t="shared" si="6"/>
        <v>0.26977394324449216</v>
      </c>
      <c r="AT12" s="151">
        <f t="shared" si="6"/>
        <v>5.1168183554035665E-64</v>
      </c>
      <c r="AU12" s="135">
        <f t="shared" si="6"/>
        <v>4.092606597300064E-12</v>
      </c>
      <c r="AV12" s="151">
        <f t="shared" si="6"/>
        <v>4.0086671762730234E-09</v>
      </c>
      <c r="AW12" s="135">
        <f t="shared" si="6"/>
        <v>1E-13</v>
      </c>
      <c r="AX12" s="151">
        <f t="shared" si="6"/>
        <v>1E-13</v>
      </c>
      <c r="AY12" s="136">
        <f t="shared" si="6"/>
        <v>0.2999162518987651</v>
      </c>
      <c r="AZ12" s="41"/>
      <c r="BA12" s="160">
        <f t="shared" si="11"/>
        <v>24.447871310171788</v>
      </c>
      <c r="BB12" s="161">
        <f t="shared" si="12"/>
        <v>49.922732585207925</v>
      </c>
      <c r="BD12" s="31" t="s">
        <v>71</v>
      </c>
      <c r="BE12" s="56">
        <v>3.741832E-16</v>
      </c>
      <c r="BG12" s="33" t="s">
        <v>141</v>
      </c>
      <c r="BH12" s="34">
        <v>2.00438</v>
      </c>
      <c r="BI12" s="34">
        <v>-0.711029</v>
      </c>
      <c r="BJ12" s="34">
        <v>0.0381263</v>
      </c>
      <c r="BK12" s="34">
        <v>-0.730484</v>
      </c>
      <c r="BL12" s="34">
        <v>1.62021</v>
      </c>
      <c r="BM12" s="34">
        <v>-0.086878</v>
      </c>
      <c r="BN12" s="34">
        <v>-0.245005</v>
      </c>
      <c r="BO12" s="34">
        <v>0.0792227</v>
      </c>
      <c r="BP12" s="34">
        <v>1.27254</v>
      </c>
      <c r="BQ12" s="35">
        <v>2.2</v>
      </c>
    </row>
    <row r="13" spans="2:69" ht="12">
      <c r="B13" s="49">
        <v>385</v>
      </c>
      <c r="C13" s="50">
        <v>0.002236</v>
      </c>
      <c r="D13" s="50">
        <v>6.4E-05</v>
      </c>
      <c r="E13" s="51">
        <v>0.01054999</v>
      </c>
      <c r="F13" s="50">
        <v>0.00066244</v>
      </c>
      <c r="G13" s="51">
        <v>7.156E-05</v>
      </c>
      <c r="H13" s="50">
        <v>0.0029278</v>
      </c>
      <c r="I13" s="135">
        <f t="shared" si="7"/>
        <v>10.907163036796408</v>
      </c>
      <c r="J13" s="52">
        <v>26.85</v>
      </c>
      <c r="K13" s="53">
        <v>39.92</v>
      </c>
      <c r="L13" s="52">
        <f t="shared" si="10"/>
        <v>27.138359571279157</v>
      </c>
      <c r="M13" s="53">
        <v>100</v>
      </c>
      <c r="N13" s="53">
        <v>1.48</v>
      </c>
      <c r="O13" s="52">
        <v>3.18</v>
      </c>
      <c r="P13" s="53">
        <v>0.63</v>
      </c>
      <c r="Q13" s="42">
        <f t="shared" si="8"/>
        <v>62.654151011272646</v>
      </c>
      <c r="R13" s="53">
        <v>64.6</v>
      </c>
      <c r="S13" s="52">
        <v>36.75</v>
      </c>
      <c r="T13" s="53">
        <v>2.1</v>
      </c>
      <c r="U13" s="43">
        <v>-10</v>
      </c>
      <c r="V13" s="47">
        <f>AVERAGE(V12,V14)</f>
        <v>3.66</v>
      </c>
      <c r="W13" s="46">
        <f>AVERAGE(W12,W14)</f>
        <v>4.8055</v>
      </c>
      <c r="X13" s="140">
        <f t="shared" si="0"/>
        <v>-55.482000000000035</v>
      </c>
      <c r="Y13" s="138">
        <f t="shared" si="1"/>
        <v>-23.650000000000006</v>
      </c>
      <c r="Z13" s="140">
        <f t="shared" si="2"/>
        <v>-9.698</v>
      </c>
      <c r="AA13" s="138">
        <f>AVERAGE(AA12,AA14)</f>
        <v>0</v>
      </c>
      <c r="AB13" s="140">
        <v>-10</v>
      </c>
      <c r="AC13" s="138">
        <f>AVERAGE(AC12,AC14)</f>
        <v>2.931</v>
      </c>
      <c r="AD13" s="140">
        <f t="shared" si="3"/>
        <v>-58.99099999999996</v>
      </c>
      <c r="AE13" s="138">
        <f t="shared" si="4"/>
        <v>-7.858000000000003</v>
      </c>
      <c r="AF13" s="140">
        <f t="shared" si="5"/>
        <v>-4.147</v>
      </c>
      <c r="AG13" s="138">
        <v>-10</v>
      </c>
      <c r="AH13" s="140">
        <v>-10</v>
      </c>
      <c r="AI13" s="142">
        <f>AVERAGE(AI12,AI14)</f>
        <v>2.8265000000000002</v>
      </c>
      <c r="AJ13" s="46"/>
      <c r="AK13" s="149">
        <f t="shared" si="9"/>
        <v>1E-13</v>
      </c>
      <c r="AL13" s="151">
        <f t="shared" si="6"/>
        <v>4.570881896148753</v>
      </c>
      <c r="AM13" s="135">
        <f t="shared" si="6"/>
        <v>63.899873734827835</v>
      </c>
      <c r="AN13" s="151">
        <f t="shared" si="6"/>
        <v>3.296097121774282E-59</v>
      </c>
      <c r="AO13" s="135">
        <f t="shared" si="6"/>
        <v>2.238721138568305E-27</v>
      </c>
      <c r="AP13" s="151">
        <f t="shared" si="6"/>
        <v>2.0044720273651576E-13</v>
      </c>
      <c r="AQ13" s="135">
        <f t="shared" si="6"/>
        <v>0.001</v>
      </c>
      <c r="AR13" s="151">
        <f t="shared" si="6"/>
        <v>1E-13</v>
      </c>
      <c r="AS13" s="135">
        <f t="shared" si="6"/>
        <v>0.8531001140175903</v>
      </c>
      <c r="AT13" s="151">
        <f t="shared" si="6"/>
        <v>1.0209394837077648E-62</v>
      </c>
      <c r="AU13" s="135">
        <f t="shared" si="6"/>
        <v>1.3867558288718763E-11</v>
      </c>
      <c r="AV13" s="151">
        <f t="shared" si="6"/>
        <v>7.128530301265189E-08</v>
      </c>
      <c r="AW13" s="135">
        <f t="shared" si="6"/>
        <v>1E-13</v>
      </c>
      <c r="AX13" s="151">
        <f t="shared" si="6"/>
        <v>1E-13</v>
      </c>
      <c r="AY13" s="136">
        <f t="shared" si="6"/>
        <v>0.6706562867022784</v>
      </c>
      <c r="AZ13" s="41"/>
      <c r="BA13" s="160">
        <f t="shared" si="11"/>
        <v>27.138359571279157</v>
      </c>
      <c r="BB13" s="161">
        <f t="shared" si="12"/>
        <v>52.26108875041754</v>
      </c>
      <c r="BD13" s="31" t="s">
        <v>72</v>
      </c>
      <c r="BE13" s="56">
        <v>0.01438786</v>
      </c>
      <c r="BG13" s="33" t="s">
        <v>142</v>
      </c>
      <c r="BH13" s="34">
        <v>1.91049</v>
      </c>
      <c r="BI13" s="34">
        <v>-0.98431</v>
      </c>
      <c r="BJ13" s="34">
        <v>0.0583744</v>
      </c>
      <c r="BK13" s="34">
        <v>-0.532592</v>
      </c>
      <c r="BL13" s="34">
        <v>1.99845</v>
      </c>
      <c r="BM13" s="34">
        <v>-0.118518</v>
      </c>
      <c r="BN13" s="34">
        <v>-0.288284</v>
      </c>
      <c r="BO13" s="34">
        <v>-0.028298</v>
      </c>
      <c r="BP13" s="34">
        <v>0.898611</v>
      </c>
      <c r="BQ13" s="35">
        <v>2.2</v>
      </c>
    </row>
    <row r="14" spans="2:69" ht="12.75" thickBot="1">
      <c r="B14" s="49">
        <v>390</v>
      </c>
      <c r="C14" s="50">
        <v>0.004243</v>
      </c>
      <c r="D14" s="50">
        <v>0.00012</v>
      </c>
      <c r="E14" s="51">
        <v>0.02005001</v>
      </c>
      <c r="F14" s="50">
        <v>0.0023616</v>
      </c>
      <c r="G14" s="51">
        <v>0.0002534</v>
      </c>
      <c r="H14" s="50">
        <v>0.0104822</v>
      </c>
      <c r="I14" s="135">
        <f t="shared" si="7"/>
        <v>12.093412306095258</v>
      </c>
      <c r="J14" s="52">
        <v>31.3</v>
      </c>
      <c r="K14" s="53">
        <v>47.4</v>
      </c>
      <c r="L14" s="52">
        <f t="shared" si="10"/>
        <v>29.828847832386526</v>
      </c>
      <c r="M14" s="53">
        <v>100</v>
      </c>
      <c r="N14" s="53">
        <v>1.84</v>
      </c>
      <c r="O14" s="52">
        <v>3.84</v>
      </c>
      <c r="P14" s="53">
        <v>0.46</v>
      </c>
      <c r="Q14" s="42">
        <f t="shared" si="8"/>
        <v>64.65033346435456</v>
      </c>
      <c r="R14" s="53">
        <v>65.8</v>
      </c>
      <c r="S14" s="52">
        <v>35</v>
      </c>
      <c r="T14" s="53">
        <v>1.2</v>
      </c>
      <c r="U14" s="43">
        <v>-10</v>
      </c>
      <c r="V14" s="47">
        <v>4.46</v>
      </c>
      <c r="W14" s="46">
        <v>4.851</v>
      </c>
      <c r="X14" s="140">
        <f t="shared" si="0"/>
        <v>-54.13200000000003</v>
      </c>
      <c r="Y14" s="138">
        <f t="shared" si="1"/>
        <v>-22.550000000000004</v>
      </c>
      <c r="Z14" s="140">
        <f t="shared" si="2"/>
        <v>-7.798</v>
      </c>
      <c r="AA14" s="138">
        <v>0</v>
      </c>
      <c r="AB14" s="140">
        <v>-10</v>
      </c>
      <c r="AC14" s="138">
        <v>3.431</v>
      </c>
      <c r="AD14" s="140">
        <f t="shared" si="3"/>
        <v>-57.69099999999996</v>
      </c>
      <c r="AE14" s="138">
        <f t="shared" si="4"/>
        <v>-7.328000000000003</v>
      </c>
      <c r="AF14" s="140">
        <f t="shared" si="5"/>
        <v>-2.897</v>
      </c>
      <c r="AG14" s="138">
        <v>-10</v>
      </c>
      <c r="AH14" s="140">
        <v>-10</v>
      </c>
      <c r="AI14" s="142">
        <v>3.176</v>
      </c>
      <c r="AJ14" s="46"/>
      <c r="AK14" s="149">
        <f t="shared" si="9"/>
        <v>1E-13</v>
      </c>
      <c r="AL14" s="151">
        <f t="shared" si="6"/>
        <v>28.840315031266062</v>
      </c>
      <c r="AM14" s="135">
        <f t="shared" si="6"/>
        <v>70.95777679633892</v>
      </c>
      <c r="AN14" s="151">
        <f t="shared" si="6"/>
        <v>7.379042301290359E-58</v>
      </c>
      <c r="AO14" s="135">
        <f t="shared" si="6"/>
        <v>2.81838293126442E-26</v>
      </c>
      <c r="AP14" s="151">
        <f t="shared" si="6"/>
        <v>1.5922087270511665E-11</v>
      </c>
      <c r="AQ14" s="135">
        <f t="shared" si="6"/>
        <v>0.001</v>
      </c>
      <c r="AR14" s="151">
        <f t="shared" si="6"/>
        <v>1E-13</v>
      </c>
      <c r="AS14" s="135">
        <f t="shared" si="6"/>
        <v>2.6977394324449224</v>
      </c>
      <c r="AT14" s="151">
        <f t="shared" si="6"/>
        <v>2.0370420777058627E-61</v>
      </c>
      <c r="AU14" s="135">
        <f t="shared" si="6"/>
        <v>4.698941086052123E-11</v>
      </c>
      <c r="AV14" s="151">
        <f t="shared" si="6"/>
        <v>1.267651865857845E-06</v>
      </c>
      <c r="AW14" s="135">
        <f t="shared" si="6"/>
        <v>1E-13</v>
      </c>
      <c r="AX14" s="151">
        <f t="shared" si="6"/>
        <v>1E-13</v>
      </c>
      <c r="AY14" s="136">
        <f t="shared" si="6"/>
        <v>1.4996848355023757</v>
      </c>
      <c r="AZ14" s="41"/>
      <c r="BA14" s="160">
        <f t="shared" si="11"/>
        <v>29.828847832386526</v>
      </c>
      <c r="BB14" s="161">
        <f t="shared" si="12"/>
        <v>54.59944491562717</v>
      </c>
      <c r="BD14" s="54" t="s">
        <v>73</v>
      </c>
      <c r="BE14" s="57">
        <f>($BE$12)/(1E-45*560*560*560*560*560*(POWER($BE$11,$BE$13/(Blackbody_Temperature*560*0.000000001))-1))</f>
        <v>40092937497550.68</v>
      </c>
      <c r="BG14" s="33" t="s">
        <v>143</v>
      </c>
      <c r="BH14" s="34">
        <v>3.06313</v>
      </c>
      <c r="BI14" s="34">
        <v>-0.969258</v>
      </c>
      <c r="BJ14" s="34">
        <v>0.0678674</v>
      </c>
      <c r="BK14" s="34">
        <v>-1.39328</v>
      </c>
      <c r="BL14" s="34">
        <v>1.87599</v>
      </c>
      <c r="BM14" s="34">
        <v>-0.228821</v>
      </c>
      <c r="BN14" s="34">
        <v>-0.475788</v>
      </c>
      <c r="BO14" s="34">
        <v>0.0415557</v>
      </c>
      <c r="BP14" s="34">
        <v>1.06919</v>
      </c>
      <c r="BQ14" s="35">
        <v>2.2</v>
      </c>
    </row>
    <row r="15" spans="2:69" ht="12.75" thickBot="1">
      <c r="B15" s="58">
        <v>395</v>
      </c>
      <c r="C15" s="59">
        <v>0.00765</v>
      </c>
      <c r="D15" s="59">
        <v>0.000217</v>
      </c>
      <c r="E15" s="60">
        <v>0.03621</v>
      </c>
      <c r="F15" s="59">
        <v>0.0072423</v>
      </c>
      <c r="G15" s="60">
        <v>0.0007685</v>
      </c>
      <c r="H15" s="59">
        <v>0.032344</v>
      </c>
      <c r="I15" s="153">
        <f t="shared" si="7"/>
        <v>13.362829315244634</v>
      </c>
      <c r="J15" s="62">
        <v>36.18</v>
      </c>
      <c r="K15" s="63">
        <v>55.17</v>
      </c>
      <c r="L15" s="62">
        <f t="shared" si="10"/>
        <v>39.53773607778284</v>
      </c>
      <c r="M15" s="63">
        <v>100</v>
      </c>
      <c r="N15" s="63">
        <v>2.15</v>
      </c>
      <c r="O15" s="62">
        <v>4.53</v>
      </c>
      <c r="P15" s="63">
        <v>0.37</v>
      </c>
      <c r="Q15" s="61">
        <f t="shared" si="8"/>
        <v>66.60346881636599</v>
      </c>
      <c r="R15" s="63">
        <v>80.3</v>
      </c>
      <c r="S15" s="62">
        <v>39.2</v>
      </c>
      <c r="T15" s="63">
        <v>0.05</v>
      </c>
      <c r="U15" s="64">
        <v>-10</v>
      </c>
      <c r="V15" s="65">
        <f>AVERAGE(V14,V16)</f>
        <v>4.73</v>
      </c>
      <c r="W15" s="66">
        <f>AVERAGE(W14,W16)</f>
        <v>4.8835</v>
      </c>
      <c r="X15" s="143">
        <f t="shared" si="0"/>
        <v>-52.78200000000003</v>
      </c>
      <c r="Y15" s="144">
        <f t="shared" si="1"/>
        <v>-21.450000000000003</v>
      </c>
      <c r="Z15" s="143">
        <f t="shared" si="2"/>
        <v>-5.898</v>
      </c>
      <c r="AA15" s="144">
        <f>AVERAGE(AA14,AA16)</f>
        <v>0</v>
      </c>
      <c r="AB15" s="143">
        <v>-10</v>
      </c>
      <c r="AC15" s="144">
        <f>AVERAGE(AC14,AC16)</f>
        <v>3.7725</v>
      </c>
      <c r="AD15" s="143">
        <f t="shared" si="3"/>
        <v>-56.39099999999996</v>
      </c>
      <c r="AE15" s="144">
        <f t="shared" si="4"/>
        <v>-6.798000000000003</v>
      </c>
      <c r="AF15" s="143">
        <f t="shared" si="5"/>
        <v>-1.6469999999999998</v>
      </c>
      <c r="AG15" s="144">
        <v>-10</v>
      </c>
      <c r="AH15" s="143">
        <v>-10</v>
      </c>
      <c r="AI15" s="145">
        <f>AVERAGE(AI14,AI16)</f>
        <v>3.4770000000000003</v>
      </c>
      <c r="AJ15" s="46"/>
      <c r="AK15" s="152">
        <f t="shared" si="9"/>
        <v>1E-13</v>
      </c>
      <c r="AL15" s="153">
        <f t="shared" si="6"/>
        <v>53.70317963702542</v>
      </c>
      <c r="AM15" s="154">
        <f t="shared" si="6"/>
        <v>76.47156884388347</v>
      </c>
      <c r="AN15" s="153">
        <f t="shared" si="6"/>
        <v>1.6519617982288713E-56</v>
      </c>
      <c r="AO15" s="154">
        <f t="shared" si="6"/>
        <v>3.5481338923357247E-25</v>
      </c>
      <c r="AP15" s="153">
        <f t="shared" si="6"/>
        <v>1.2647363474711502E-09</v>
      </c>
      <c r="AQ15" s="154">
        <f t="shared" si="6"/>
        <v>0.001</v>
      </c>
      <c r="AR15" s="153">
        <f t="shared" si="6"/>
        <v>1E-13</v>
      </c>
      <c r="AS15" s="154">
        <f t="shared" si="6"/>
        <v>5.922430868761314</v>
      </c>
      <c r="AT15" s="153">
        <f t="shared" si="6"/>
        <v>4.064433291652481E-60</v>
      </c>
      <c r="AU15" s="154">
        <f t="shared" si="6"/>
        <v>1.592208727051157E-10</v>
      </c>
      <c r="AV15" s="153">
        <f t="shared" si="6"/>
        <v>2.2542392121524296E-05</v>
      </c>
      <c r="AW15" s="154">
        <f t="shared" si="6"/>
        <v>1E-13</v>
      </c>
      <c r="AX15" s="153">
        <f t="shared" si="6"/>
        <v>1E-13</v>
      </c>
      <c r="AY15" s="155">
        <f t="shared" si="6"/>
        <v>2.999162518987657</v>
      </c>
      <c r="AZ15" s="41"/>
      <c r="BA15" s="162">
        <f t="shared" si="11"/>
        <v>39.53773607778284</v>
      </c>
      <c r="BB15" s="163">
        <f t="shared" si="12"/>
        <v>68.64627945290995</v>
      </c>
      <c r="BG15" s="33" t="s">
        <v>144</v>
      </c>
      <c r="BH15" s="34">
        <v>1.34594</v>
      </c>
      <c r="BI15" s="34">
        <v>-0.544599</v>
      </c>
      <c r="BJ15" s="34">
        <v>6.11051E-08</v>
      </c>
      <c r="BK15" s="34">
        <v>-0.255608</v>
      </c>
      <c r="BL15" s="34">
        <v>1.50817</v>
      </c>
      <c r="BM15" s="34">
        <v>-3.30911E-08</v>
      </c>
      <c r="BN15" s="34">
        <v>-0.0511118</v>
      </c>
      <c r="BO15" s="34">
        <v>0.0205351</v>
      </c>
      <c r="BP15" s="34">
        <v>1.21181</v>
      </c>
      <c r="BQ15" s="35">
        <v>1.8</v>
      </c>
    </row>
    <row r="16" spans="2:69" ht="12.75" thickBot="1">
      <c r="B16" s="49">
        <v>400</v>
      </c>
      <c r="C16" s="50">
        <v>0.01431</v>
      </c>
      <c r="D16" s="50">
        <v>0.000396</v>
      </c>
      <c r="E16" s="51">
        <v>0.06785001</v>
      </c>
      <c r="F16" s="50">
        <v>0.0191097</v>
      </c>
      <c r="G16" s="51">
        <v>0.0020044</v>
      </c>
      <c r="H16" s="50">
        <v>0.0860109</v>
      </c>
      <c r="I16" s="135">
        <f t="shared" si="7"/>
        <v>14.717047084402006</v>
      </c>
      <c r="J16" s="52">
        <v>41.3</v>
      </c>
      <c r="K16" s="53">
        <v>63.3</v>
      </c>
      <c r="L16" s="52">
        <f t="shared" si="10"/>
        <v>49.24662432317916</v>
      </c>
      <c r="M16" s="53">
        <v>100</v>
      </c>
      <c r="N16" s="53">
        <v>3.44</v>
      </c>
      <c r="O16" s="52">
        <v>6.15</v>
      </c>
      <c r="P16" s="53">
        <v>1.29</v>
      </c>
      <c r="Q16" s="42">
        <f t="shared" si="8"/>
        <v>68.51074398561163</v>
      </c>
      <c r="R16" s="53">
        <v>94.8</v>
      </c>
      <c r="S16" s="52">
        <v>43.4</v>
      </c>
      <c r="T16" s="53">
        <v>-1.1</v>
      </c>
      <c r="U16" s="67">
        <v>1</v>
      </c>
      <c r="V16" s="47">
        <v>5</v>
      </c>
      <c r="W16" s="46">
        <v>4.916</v>
      </c>
      <c r="X16" s="140">
        <f t="shared" si="0"/>
        <v>-51.43200000000003</v>
      </c>
      <c r="Y16" s="138">
        <f t="shared" si="1"/>
        <v>-20.35</v>
      </c>
      <c r="Z16" s="140">
        <f t="shared" si="2"/>
        <v>-3.9979999999999998</v>
      </c>
      <c r="AA16" s="138">
        <v>0</v>
      </c>
      <c r="AB16" s="140">
        <v>-10</v>
      </c>
      <c r="AC16" s="138">
        <v>4.114</v>
      </c>
      <c r="AD16" s="140">
        <f t="shared" si="3"/>
        <v>-55.090999999999966</v>
      </c>
      <c r="AE16" s="138">
        <f t="shared" si="4"/>
        <v>-6.2680000000000025</v>
      </c>
      <c r="AF16" s="140">
        <f>AF17-1.25</f>
        <v>-0.3969999999999998</v>
      </c>
      <c r="AG16" s="138">
        <v>-10</v>
      </c>
      <c r="AH16" s="140">
        <v>-10</v>
      </c>
      <c r="AI16" s="142">
        <v>3.778</v>
      </c>
      <c r="AJ16" s="46"/>
      <c r="AK16" s="149">
        <f t="shared" si="9"/>
        <v>0.01</v>
      </c>
      <c r="AL16" s="151">
        <f t="shared" si="6"/>
        <v>100</v>
      </c>
      <c r="AM16" s="135">
        <f t="shared" si="6"/>
        <v>82.41381150130037</v>
      </c>
      <c r="AN16" s="151">
        <f t="shared" si="6"/>
        <v>3.698281797802345E-55</v>
      </c>
      <c r="AO16" s="135">
        <f t="shared" si="6"/>
        <v>4.46683592150961E-24</v>
      </c>
      <c r="AP16" s="151">
        <f t="shared" si="6"/>
        <v>1.0046157902783958E-07</v>
      </c>
      <c r="AQ16" s="135">
        <f t="shared" si="6"/>
        <v>0.001</v>
      </c>
      <c r="AR16" s="151">
        <f t="shared" si="6"/>
        <v>1E-13</v>
      </c>
      <c r="AS16" s="135">
        <f t="shared" si="6"/>
        <v>13.001695780332913</v>
      </c>
      <c r="AT16" s="151">
        <f t="shared" si="6"/>
        <v>8.109610578539011E-59</v>
      </c>
      <c r="AU16" s="135">
        <f t="shared" si="6"/>
        <v>5.395106225151243E-10</v>
      </c>
      <c r="AV16" s="151">
        <f t="shared" si="6"/>
        <v>0.00040086671762730295</v>
      </c>
      <c r="AW16" s="135">
        <f t="shared" si="6"/>
        <v>1E-13</v>
      </c>
      <c r="AX16" s="151">
        <f t="shared" si="6"/>
        <v>1E-13</v>
      </c>
      <c r="AY16" s="136">
        <f t="shared" si="6"/>
        <v>5.997910762555104</v>
      </c>
      <c r="AZ16" s="41"/>
      <c r="BA16" s="160">
        <f t="shared" si="11"/>
        <v>49.24662432317916</v>
      </c>
      <c r="BB16" s="161">
        <f t="shared" si="12"/>
        <v>82.69311399019276</v>
      </c>
      <c r="BD16" s="180" t="s">
        <v>118</v>
      </c>
      <c r="BE16" s="181"/>
      <c r="BG16" s="33" t="s">
        <v>145</v>
      </c>
      <c r="BH16" s="34">
        <v>3.5057</v>
      </c>
      <c r="BI16" s="34">
        <v>-1.06906</v>
      </c>
      <c r="BJ16" s="34">
        <v>0.0563117</v>
      </c>
      <c r="BK16" s="34">
        <v>-1.73964</v>
      </c>
      <c r="BL16" s="34">
        <v>1.97781</v>
      </c>
      <c r="BM16" s="34">
        <v>-0.196994</v>
      </c>
      <c r="BN16" s="34">
        <v>-0.544011</v>
      </c>
      <c r="BO16" s="34">
        <v>0.035172</v>
      </c>
      <c r="BP16" s="34">
        <v>1.05005</v>
      </c>
      <c r="BQ16" s="35">
        <v>2.2</v>
      </c>
    </row>
    <row r="17" spans="2:69" ht="12">
      <c r="B17" s="49">
        <v>405</v>
      </c>
      <c r="C17" s="50">
        <v>0.02319</v>
      </c>
      <c r="D17" s="50">
        <v>0.00064</v>
      </c>
      <c r="E17" s="51">
        <v>0.1102</v>
      </c>
      <c r="F17" s="50">
        <v>0.0434</v>
      </c>
      <c r="G17" s="51">
        <v>0.004509</v>
      </c>
      <c r="H17" s="50">
        <v>0.19712</v>
      </c>
      <c r="I17" s="135">
        <f t="shared" si="7"/>
        <v>16.157447132971534</v>
      </c>
      <c r="J17" s="52">
        <v>46.62</v>
      </c>
      <c r="K17" s="53">
        <v>71.81</v>
      </c>
      <c r="L17" s="52">
        <f t="shared" si="10"/>
        <v>52.84818296746354</v>
      </c>
      <c r="M17" s="53">
        <v>100</v>
      </c>
      <c r="N17" s="53">
        <v>15.69</v>
      </c>
      <c r="O17" s="52">
        <v>19.37</v>
      </c>
      <c r="P17" s="53">
        <v>12.68</v>
      </c>
      <c r="Q17" s="42">
        <f t="shared" si="8"/>
        <v>70.36962788847926</v>
      </c>
      <c r="R17" s="53">
        <v>99.8</v>
      </c>
      <c r="S17" s="52">
        <v>44.85</v>
      </c>
      <c r="T17" s="53">
        <v>-0.8</v>
      </c>
      <c r="U17" s="67">
        <f>AVERAGE(U16,U18)</f>
        <v>1.161</v>
      </c>
      <c r="V17" s="47">
        <f>AVERAGE(V16,V18)</f>
        <v>4.73</v>
      </c>
      <c r="W17" s="46">
        <f>AVERAGE(W16,W18)</f>
        <v>4.936</v>
      </c>
      <c r="X17" s="140">
        <f t="shared" si="0"/>
        <v>-50.08200000000003</v>
      </c>
      <c r="Y17" s="138">
        <f t="shared" si="1"/>
        <v>-19.25</v>
      </c>
      <c r="Z17" s="140">
        <f t="shared" si="2"/>
        <v>-2.098</v>
      </c>
      <c r="AA17" s="138">
        <f>AVERAGE(AA16,AA18)</f>
        <v>0</v>
      </c>
      <c r="AB17" s="140">
        <v>-10</v>
      </c>
      <c r="AC17" s="138">
        <f>AVERAGE(AC16,AC18)</f>
        <v>4.2955000000000005</v>
      </c>
      <c r="AD17" s="140">
        <f t="shared" si="3"/>
        <v>-53.79099999999997</v>
      </c>
      <c r="AE17" s="138">
        <f t="shared" si="4"/>
        <v>-5.738000000000002</v>
      </c>
      <c r="AF17" s="140">
        <f>AF18-1.25</f>
        <v>0.8530000000000002</v>
      </c>
      <c r="AG17" s="138">
        <v>-10</v>
      </c>
      <c r="AH17" s="140">
        <v>-10</v>
      </c>
      <c r="AI17" s="142">
        <f>AVERAGE(AI16,AI18)</f>
        <v>4.0040000000000004</v>
      </c>
      <c r="AJ17" s="46"/>
      <c r="AK17" s="149">
        <f t="shared" si="9"/>
        <v>0.01448771853544762</v>
      </c>
      <c r="AL17" s="151">
        <f t="shared" si="6"/>
        <v>53.70317963702542</v>
      </c>
      <c r="AM17" s="135">
        <f t="shared" si="6"/>
        <v>86.29785477669716</v>
      </c>
      <c r="AN17" s="151">
        <f t="shared" si="6"/>
        <v>8.279421637122644E-54</v>
      </c>
      <c r="AO17" s="135">
        <f t="shared" si="6"/>
        <v>5.623413251903485E-23</v>
      </c>
      <c r="AP17" s="151">
        <f t="shared" si="6"/>
        <v>7.979946872679767E-06</v>
      </c>
      <c r="AQ17" s="135">
        <f t="shared" si="6"/>
        <v>0.001</v>
      </c>
      <c r="AR17" s="151">
        <f t="shared" si="6"/>
        <v>1E-13</v>
      </c>
      <c r="AS17" s="135">
        <f t="shared" si="6"/>
        <v>19.746948794093353</v>
      </c>
      <c r="AT17" s="151">
        <f t="shared" si="6"/>
        <v>1.6180800376431663E-57</v>
      </c>
      <c r="AU17" s="135">
        <f t="shared" si="6"/>
        <v>1.828100216142732E-09</v>
      </c>
      <c r="AV17" s="151">
        <f t="shared" si="6"/>
        <v>0.0071285303012651995</v>
      </c>
      <c r="AW17" s="135">
        <f t="shared" si="6"/>
        <v>1E-13</v>
      </c>
      <c r="AX17" s="151">
        <f t="shared" si="6"/>
        <v>1E-13</v>
      </c>
      <c r="AY17" s="136">
        <f t="shared" si="6"/>
        <v>10.092528860766862</v>
      </c>
      <c r="AZ17" s="41"/>
      <c r="BA17" s="160">
        <f t="shared" si="11"/>
        <v>52.84818296746354</v>
      </c>
      <c r="BB17" s="161">
        <f t="shared" si="12"/>
        <v>87.05677273260612</v>
      </c>
      <c r="BD17" s="31" t="s">
        <v>119</v>
      </c>
      <c r="BE17" s="32">
        <v>2856</v>
      </c>
      <c r="BG17" s="33" t="s">
        <v>146</v>
      </c>
      <c r="BH17" s="34">
        <v>3.24071</v>
      </c>
      <c r="BI17" s="34">
        <v>-0.969258</v>
      </c>
      <c r="BJ17" s="34">
        <v>0.0556352</v>
      </c>
      <c r="BK17" s="34">
        <v>-1.53726</v>
      </c>
      <c r="BL17" s="34">
        <v>1.87599</v>
      </c>
      <c r="BM17" s="34">
        <v>-0.203996</v>
      </c>
      <c r="BN17" s="34">
        <v>-0.498571</v>
      </c>
      <c r="BO17" s="34">
        <v>0.0415557</v>
      </c>
      <c r="BP17" s="34">
        <v>1.05707</v>
      </c>
      <c r="BQ17" s="35">
        <v>2.4</v>
      </c>
    </row>
    <row r="18" spans="2:69" ht="12.75" thickBot="1">
      <c r="B18" s="49">
        <v>410</v>
      </c>
      <c r="C18" s="50">
        <v>0.04351</v>
      </c>
      <c r="D18" s="50">
        <v>0.00121</v>
      </c>
      <c r="E18" s="51">
        <v>0.2074</v>
      </c>
      <c r="F18" s="50">
        <v>0.084736</v>
      </c>
      <c r="G18" s="51">
        <v>0.008756</v>
      </c>
      <c r="H18" s="50">
        <v>0.389366</v>
      </c>
      <c r="I18" s="135">
        <f t="shared" si="7"/>
        <v>17.685153530605433</v>
      </c>
      <c r="J18" s="52">
        <v>52.1</v>
      </c>
      <c r="K18" s="53">
        <v>80.6</v>
      </c>
      <c r="L18" s="52">
        <f t="shared" si="10"/>
        <v>56.44974161174794</v>
      </c>
      <c r="M18" s="53">
        <v>100</v>
      </c>
      <c r="N18" s="53">
        <v>3.85</v>
      </c>
      <c r="O18" s="52">
        <v>7.37</v>
      </c>
      <c r="P18" s="53">
        <v>1.59</v>
      </c>
      <c r="Q18" s="42">
        <f t="shared" si="8"/>
        <v>72.17786404973178</v>
      </c>
      <c r="R18" s="53">
        <v>104.8</v>
      </c>
      <c r="S18" s="52">
        <v>46.3</v>
      </c>
      <c r="T18" s="53">
        <v>-0.5</v>
      </c>
      <c r="U18" s="67">
        <v>1.322</v>
      </c>
      <c r="V18" s="47">
        <v>4.46</v>
      </c>
      <c r="W18" s="46">
        <v>4.956</v>
      </c>
      <c r="X18" s="140">
        <f t="shared" si="0"/>
        <v>-48.73200000000003</v>
      </c>
      <c r="Y18" s="138">
        <f t="shared" si="1"/>
        <v>-18.15</v>
      </c>
      <c r="Z18" s="140">
        <f>Z19-1.9</f>
        <v>-0.19799999999999995</v>
      </c>
      <c r="AA18" s="138">
        <v>0</v>
      </c>
      <c r="AB18" s="140">
        <v>-10</v>
      </c>
      <c r="AC18" s="138">
        <v>4.477</v>
      </c>
      <c r="AD18" s="140">
        <f t="shared" si="3"/>
        <v>-52.49099999999997</v>
      </c>
      <c r="AE18" s="138">
        <f t="shared" si="4"/>
        <v>-5.208000000000002</v>
      </c>
      <c r="AF18" s="140">
        <v>2.103</v>
      </c>
      <c r="AG18" s="138">
        <v>-10</v>
      </c>
      <c r="AH18" s="140">
        <v>-10</v>
      </c>
      <c r="AI18" s="142">
        <v>4.23</v>
      </c>
      <c r="AJ18" s="46"/>
      <c r="AK18" s="149">
        <f t="shared" si="9"/>
        <v>0.02098939883623525</v>
      </c>
      <c r="AL18" s="151">
        <f t="shared" si="6"/>
        <v>28.840315031266062</v>
      </c>
      <c r="AM18" s="135">
        <f t="shared" si="6"/>
        <v>90.36494737223026</v>
      </c>
      <c r="AN18" s="151">
        <f t="shared" si="6"/>
        <v>1.853531623414684E-52</v>
      </c>
      <c r="AO18" s="135">
        <f t="shared" si="6"/>
        <v>7.0794578438414E-22</v>
      </c>
      <c r="AP18" s="151">
        <f t="shared" si="6"/>
        <v>0.0006338697112569271</v>
      </c>
      <c r="AQ18" s="135">
        <f t="shared" si="6"/>
        <v>0.001</v>
      </c>
      <c r="AR18" s="151">
        <f t="shared" si="6"/>
        <v>1E-13</v>
      </c>
      <c r="AS18" s="135">
        <f t="shared" si="6"/>
        <v>29.991625189876547</v>
      </c>
      <c r="AT18" s="151">
        <f t="shared" si="6"/>
        <v>3.2284941217127956E-56</v>
      </c>
      <c r="AU18" s="135">
        <f t="shared" si="6"/>
        <v>6.194410750767779E-09</v>
      </c>
      <c r="AV18" s="151">
        <f t="shared" si="6"/>
        <v>0.12676518658578464</v>
      </c>
      <c r="AW18" s="135">
        <f t="shared" si="6"/>
        <v>1E-13</v>
      </c>
      <c r="AX18" s="151">
        <f t="shared" si="6"/>
        <v>1E-13</v>
      </c>
      <c r="AY18" s="136">
        <f t="shared" si="6"/>
        <v>16.982436524617484</v>
      </c>
      <c r="AZ18" s="41"/>
      <c r="BA18" s="160">
        <f t="shared" si="11"/>
        <v>56.44974161174794</v>
      </c>
      <c r="BB18" s="161">
        <f t="shared" si="12"/>
        <v>91.42043147501948</v>
      </c>
      <c r="BD18" s="54" t="s">
        <v>73</v>
      </c>
      <c r="BE18" s="57">
        <f>($BE$12)/(1E-45*560*560*560*560*560*(POWER($BE$11,$BE$13/($BE$17*560*0.000000001))-1))</f>
        <v>841937916959.7555</v>
      </c>
      <c r="BG18" s="68" t="s">
        <v>147</v>
      </c>
      <c r="BH18" s="69">
        <v>1.46281</v>
      </c>
      <c r="BI18" s="69">
        <v>-0.521793</v>
      </c>
      <c r="BJ18" s="69">
        <v>0.0349342</v>
      </c>
      <c r="BK18" s="69">
        <v>-0.184062</v>
      </c>
      <c r="BL18" s="69">
        <v>1.44724</v>
      </c>
      <c r="BM18" s="69">
        <v>-0.0968931</v>
      </c>
      <c r="BN18" s="69">
        <v>-0.274361</v>
      </c>
      <c r="BO18" s="69">
        <v>0.0677228</v>
      </c>
      <c r="BP18" s="69">
        <v>1.28841</v>
      </c>
      <c r="BQ18" s="70">
        <v>2.2</v>
      </c>
    </row>
    <row r="19" spans="2:57" ht="12.75" thickBot="1">
      <c r="B19" s="49">
        <v>415</v>
      </c>
      <c r="C19" s="50">
        <v>0.07763</v>
      </c>
      <c r="D19" s="50">
        <v>0.00218</v>
      </c>
      <c r="E19" s="51">
        <v>0.3713</v>
      </c>
      <c r="F19" s="50">
        <v>0.140638</v>
      </c>
      <c r="G19" s="51">
        <v>0.014456</v>
      </c>
      <c r="H19" s="50">
        <v>0.65676</v>
      </c>
      <c r="I19" s="135">
        <f t="shared" si="7"/>
        <v>19.301028906531293</v>
      </c>
      <c r="J19" s="52">
        <v>57.7</v>
      </c>
      <c r="K19" s="53">
        <v>89.53</v>
      </c>
      <c r="L19" s="52">
        <f t="shared" si="10"/>
        <v>58.21145244608709</v>
      </c>
      <c r="M19" s="53">
        <v>100</v>
      </c>
      <c r="N19" s="53">
        <v>3.74</v>
      </c>
      <c r="O19" s="52">
        <v>7.05</v>
      </c>
      <c r="P19" s="53">
        <v>1.79</v>
      </c>
      <c r="Q19" s="42">
        <f t="shared" si="8"/>
        <v>73.93346204957136</v>
      </c>
      <c r="R19" s="53">
        <v>105.35</v>
      </c>
      <c r="S19" s="52">
        <v>45.1</v>
      </c>
      <c r="T19" s="53">
        <v>-0.6</v>
      </c>
      <c r="U19" s="67">
        <f aca="true" t="shared" si="13" ref="U19:AI19">AVERAGE(U18,U20)</f>
        <v>1.6179999999999999</v>
      </c>
      <c r="V19" s="47">
        <f t="shared" si="13"/>
        <v>3.66</v>
      </c>
      <c r="W19" s="46">
        <f t="shared" si="13"/>
        <v>4.972</v>
      </c>
      <c r="X19" s="140">
        <f t="shared" si="0"/>
        <v>-47.382000000000026</v>
      </c>
      <c r="Y19" s="138">
        <f t="shared" si="1"/>
        <v>-17.049999999999997</v>
      </c>
      <c r="Z19" s="140">
        <f>Z20-1.9</f>
        <v>1.702</v>
      </c>
      <c r="AA19" s="138">
        <f t="shared" si="13"/>
        <v>0</v>
      </c>
      <c r="AB19" s="140">
        <v>-10</v>
      </c>
      <c r="AC19" s="138">
        <f t="shared" si="13"/>
        <v>4.6274999999999995</v>
      </c>
      <c r="AD19" s="140">
        <f t="shared" si="3"/>
        <v>-51.190999999999974</v>
      </c>
      <c r="AE19" s="138">
        <f t="shared" si="4"/>
        <v>-4.678000000000002</v>
      </c>
      <c r="AF19" s="140">
        <f t="shared" si="13"/>
        <v>3.107</v>
      </c>
      <c r="AG19" s="138">
        <v>-10</v>
      </c>
      <c r="AH19" s="140">
        <v>-10</v>
      </c>
      <c r="AI19" s="142">
        <f t="shared" si="13"/>
        <v>4.416</v>
      </c>
      <c r="AJ19" s="46"/>
      <c r="AK19" s="149">
        <f t="shared" si="9"/>
        <v>0.04149540426343629</v>
      </c>
      <c r="AL19" s="151">
        <f t="shared" si="6"/>
        <v>4.570881896148753</v>
      </c>
      <c r="AM19" s="135">
        <f t="shared" si="6"/>
        <v>93.7562006925882</v>
      </c>
      <c r="AN19" s="151">
        <f t="shared" si="6"/>
        <v>4.149540426343349E-51</v>
      </c>
      <c r="AO19" s="135">
        <f t="shared" si="6"/>
        <v>8.91250938133745E-21</v>
      </c>
      <c r="AP19" s="151">
        <f t="shared" si="6"/>
        <v>0.050350060878790494</v>
      </c>
      <c r="AQ19" s="135">
        <f t="shared" si="6"/>
        <v>0.001</v>
      </c>
      <c r="AR19" s="151">
        <f t="shared" si="6"/>
        <v>1E-13</v>
      </c>
      <c r="AS19" s="135">
        <f t="shared" si="6"/>
        <v>42.41309839104883</v>
      </c>
      <c r="AT19" s="151">
        <f t="shared" si="6"/>
        <v>6.441692655152104E-55</v>
      </c>
      <c r="AU19" s="135">
        <f t="shared" si="6"/>
        <v>2.0989398836235128E-08</v>
      </c>
      <c r="AV19" s="151">
        <f t="shared" si="6"/>
        <v>1.2793813041575262</v>
      </c>
      <c r="AW19" s="135">
        <f t="shared" si="6"/>
        <v>1E-13</v>
      </c>
      <c r="AX19" s="151">
        <f t="shared" si="6"/>
        <v>1E-13</v>
      </c>
      <c r="AY19" s="136">
        <f t="shared" si="6"/>
        <v>26.061535499988985</v>
      </c>
      <c r="AZ19" s="41"/>
      <c r="BA19" s="160">
        <f t="shared" si="11"/>
        <v>58.21145244608709</v>
      </c>
      <c r="BB19" s="161">
        <f t="shared" si="12"/>
        <v>92.39497283732183</v>
      </c>
      <c r="BE19" s="71"/>
    </row>
    <row r="20" spans="2:62" ht="12.75" thickBot="1">
      <c r="B20" s="49">
        <v>420</v>
      </c>
      <c r="C20" s="50">
        <v>0.13438</v>
      </c>
      <c r="D20" s="50">
        <v>0.004</v>
      </c>
      <c r="E20" s="51">
        <v>0.6456</v>
      </c>
      <c r="F20" s="50">
        <v>0.204492</v>
      </c>
      <c r="G20" s="51">
        <v>0.021391</v>
      </c>
      <c r="H20" s="50">
        <v>0.972542</v>
      </c>
      <c r="I20" s="135">
        <f t="shared" si="7"/>
        <v>21.00567234746717</v>
      </c>
      <c r="J20" s="52">
        <v>63.2</v>
      </c>
      <c r="K20" s="53">
        <v>98.1</v>
      </c>
      <c r="L20" s="52">
        <f t="shared" si="10"/>
        <v>59.97316328042627</v>
      </c>
      <c r="M20" s="53">
        <v>100</v>
      </c>
      <c r="N20" s="53">
        <v>4.19</v>
      </c>
      <c r="O20" s="52">
        <v>7.71</v>
      </c>
      <c r="P20" s="53">
        <v>2.46</v>
      </c>
      <c r="Q20" s="42">
        <f t="shared" si="8"/>
        <v>75.6346880163644</v>
      </c>
      <c r="R20" s="53">
        <v>105.9</v>
      </c>
      <c r="S20" s="52">
        <v>43.9</v>
      </c>
      <c r="T20" s="53">
        <v>-0.7</v>
      </c>
      <c r="U20" s="67">
        <v>1.914</v>
      </c>
      <c r="V20" s="47">
        <v>2.86</v>
      </c>
      <c r="W20" s="46">
        <v>4.988</v>
      </c>
      <c r="X20" s="140">
        <f t="shared" si="0"/>
        <v>-46.032000000000025</v>
      </c>
      <c r="Y20" s="138">
        <f t="shared" si="1"/>
        <v>-15.949999999999998</v>
      </c>
      <c r="Z20" s="140">
        <v>3.602</v>
      </c>
      <c r="AA20" s="138">
        <v>0</v>
      </c>
      <c r="AB20" s="140">
        <v>-10</v>
      </c>
      <c r="AC20" s="138">
        <v>4.778</v>
      </c>
      <c r="AD20" s="140">
        <f t="shared" si="3"/>
        <v>-49.89099999999998</v>
      </c>
      <c r="AE20" s="138">
        <f t="shared" si="4"/>
        <v>-4.1480000000000015</v>
      </c>
      <c r="AF20" s="140">
        <v>4.111</v>
      </c>
      <c r="AG20" s="138">
        <v>-10</v>
      </c>
      <c r="AH20" s="140">
        <v>-10</v>
      </c>
      <c r="AI20" s="142">
        <v>4.602</v>
      </c>
      <c r="AJ20" s="46"/>
      <c r="AK20" s="149">
        <f t="shared" si="9"/>
        <v>0.08203515443298187</v>
      </c>
      <c r="AL20" s="151">
        <f aca="true" t="shared" si="14" ref="AL20:AL83">POWER(10,V20)/1000</f>
        <v>0.7244359600749902</v>
      </c>
      <c r="AM20" s="135">
        <f aca="true" t="shared" si="15" ref="AM20:AM83">POWER(10,W20)/1000</f>
        <v>97.27472237769675</v>
      </c>
      <c r="AN20" s="151">
        <f aca="true" t="shared" si="16" ref="AN20:AN83">POWER(10,X20)/1000</f>
        <v>9.289663867798748E-50</v>
      </c>
      <c r="AO20" s="135">
        <f aca="true" t="shared" si="17" ref="AO20:AO83">POWER(10,Y20)/1000</f>
        <v>1.122018454301967E-19</v>
      </c>
      <c r="AP20" s="151">
        <f aca="true" t="shared" si="18" ref="AP20:AP83">POWER(10,Z20)/1000</f>
        <v>3.9994474976109777</v>
      </c>
      <c r="AQ20" s="135">
        <f aca="true" t="shared" si="19" ref="AQ20:AQ83">POWER(10,AA20)/1000</f>
        <v>0.001</v>
      </c>
      <c r="AR20" s="151">
        <f aca="true" t="shared" si="20" ref="AR20:AR83">POWER(10,AB20)/1000</f>
        <v>1E-13</v>
      </c>
      <c r="AS20" s="135">
        <f aca="true" t="shared" si="21" ref="AS20:AS83">POWER(10,AC20)/1000</f>
        <v>59.979107625550995</v>
      </c>
      <c r="AT20" s="151">
        <f aca="true" t="shared" si="22" ref="AT20:AT83">POWER(10,AD20)/1000</f>
        <v>1.2852866599436654E-53</v>
      </c>
      <c r="AU20" s="135">
        <f aca="true" t="shared" si="23" ref="AU20:AU83">POWER(10,AE20)/1000</f>
        <v>7.112135136533254E-08</v>
      </c>
      <c r="AV20" s="151">
        <f aca="true" t="shared" si="24" ref="AV20:AV83">POWER(10,AF20)/1000</f>
        <v>12.912192736135347</v>
      </c>
      <c r="AW20" s="135">
        <f aca="true" t="shared" si="25" ref="AW20:AW83">POWER(10,AG20)/1000</f>
        <v>1E-13</v>
      </c>
      <c r="AX20" s="151">
        <f aca="true" t="shared" si="26" ref="AX20:AX83">POWER(10,AH20)/1000</f>
        <v>1E-13</v>
      </c>
      <c r="AY20" s="136">
        <f aca="true" t="shared" si="27" ref="AY20:AY83">POWER(10,AI20)/1000</f>
        <v>39.99447497610982</v>
      </c>
      <c r="AZ20" s="41"/>
      <c r="BA20" s="160">
        <f t="shared" si="11"/>
        <v>59.97316328042627</v>
      </c>
      <c r="BB20" s="161">
        <f t="shared" si="12"/>
        <v>93.36951419962419</v>
      </c>
      <c r="BD20" s="180" t="s">
        <v>152</v>
      </c>
      <c r="BE20" s="181"/>
      <c r="BG20" s="72" t="s">
        <v>79</v>
      </c>
      <c r="BH20" s="14" t="s">
        <v>83</v>
      </c>
      <c r="BI20" s="73" t="s">
        <v>84</v>
      </c>
      <c r="BJ20" s="12" t="s">
        <v>85</v>
      </c>
    </row>
    <row r="21" spans="2:62" ht="12">
      <c r="B21" s="49">
        <v>425</v>
      </c>
      <c r="C21" s="50">
        <v>0.21477</v>
      </c>
      <c r="D21" s="50">
        <v>0.0073</v>
      </c>
      <c r="E21" s="51">
        <v>1.0390501</v>
      </c>
      <c r="F21" s="50">
        <v>0.264737</v>
      </c>
      <c r="G21" s="51">
        <v>0.029497</v>
      </c>
      <c r="H21" s="50">
        <v>1.2825</v>
      </c>
      <c r="I21" s="135">
        <f t="shared" si="7"/>
        <v>22.79941909853032</v>
      </c>
      <c r="J21" s="52">
        <v>68.37</v>
      </c>
      <c r="K21" s="53">
        <v>105.8</v>
      </c>
      <c r="L21" s="52">
        <f t="shared" si="10"/>
        <v>58.868568951818695</v>
      </c>
      <c r="M21" s="53">
        <v>100</v>
      </c>
      <c r="N21" s="53">
        <v>4.62</v>
      </c>
      <c r="O21" s="52">
        <v>8.41</v>
      </c>
      <c r="P21" s="53">
        <v>3.38</v>
      </c>
      <c r="Q21" s="42">
        <f t="shared" si="8"/>
        <v>77.28005435589301</v>
      </c>
      <c r="R21" s="53">
        <v>101.35</v>
      </c>
      <c r="S21" s="52">
        <v>40.5</v>
      </c>
      <c r="T21" s="53">
        <v>-0.95</v>
      </c>
      <c r="U21" s="67">
        <f aca="true" t="shared" si="28" ref="U21:AI21">AVERAGE(U20,U22)</f>
        <v>2.1805</v>
      </c>
      <c r="V21" s="47">
        <f t="shared" si="28"/>
        <v>2.25</v>
      </c>
      <c r="W21" s="46">
        <f t="shared" si="28"/>
        <v>4.994</v>
      </c>
      <c r="X21" s="140">
        <f t="shared" si="0"/>
        <v>-44.68200000000002</v>
      </c>
      <c r="Y21" s="138">
        <f t="shared" si="1"/>
        <v>-14.849999999999998</v>
      </c>
      <c r="Z21" s="140">
        <f t="shared" si="28"/>
        <v>4.2105</v>
      </c>
      <c r="AA21" s="138">
        <f t="shared" si="28"/>
        <v>0</v>
      </c>
      <c r="AB21" s="140">
        <v>-10</v>
      </c>
      <c r="AC21" s="138">
        <f t="shared" si="28"/>
        <v>4.846</v>
      </c>
      <c r="AD21" s="140">
        <f t="shared" si="3"/>
        <v>-48.59099999999998</v>
      </c>
      <c r="AE21" s="138">
        <f t="shared" si="4"/>
        <v>-3.618000000000001</v>
      </c>
      <c r="AF21" s="140">
        <f t="shared" si="28"/>
        <v>4.371499999999999</v>
      </c>
      <c r="AG21" s="138">
        <v>-10</v>
      </c>
      <c r="AH21" s="140">
        <v>-10</v>
      </c>
      <c r="AI21" s="142">
        <f t="shared" si="28"/>
        <v>4.6899999999999995</v>
      </c>
      <c r="AJ21" s="46"/>
      <c r="AK21" s="149">
        <f t="shared" si="9"/>
        <v>0.15153048036987019</v>
      </c>
      <c r="AL21" s="151">
        <f t="shared" si="14"/>
        <v>0.17782794100389243</v>
      </c>
      <c r="AM21" s="135">
        <f t="shared" si="15"/>
        <v>98.62794856312117</v>
      </c>
      <c r="AN21" s="151">
        <f t="shared" si="16"/>
        <v>2.0796966871035608E-48</v>
      </c>
      <c r="AO21" s="135">
        <f t="shared" si="17"/>
        <v>1.412537544622754E-18</v>
      </c>
      <c r="AP21" s="151">
        <f t="shared" si="18"/>
        <v>16.236783504824423</v>
      </c>
      <c r="AQ21" s="135">
        <f t="shared" si="19"/>
        <v>0.001</v>
      </c>
      <c r="AR21" s="151">
        <f t="shared" si="20"/>
        <v>1E-13</v>
      </c>
      <c r="AS21" s="135">
        <f t="shared" si="21"/>
        <v>70.14552984199716</v>
      </c>
      <c r="AT21" s="151">
        <f t="shared" si="22"/>
        <v>2.5644840365178214E-52</v>
      </c>
      <c r="AU21" s="135">
        <f t="shared" si="23"/>
        <v>2.4099054286865875E-07</v>
      </c>
      <c r="AV21" s="151">
        <f t="shared" si="24"/>
        <v>23.52339493388947</v>
      </c>
      <c r="AW21" s="135">
        <f t="shared" si="25"/>
        <v>1E-13</v>
      </c>
      <c r="AX21" s="151">
        <f t="shared" si="26"/>
        <v>1E-13</v>
      </c>
      <c r="AY21" s="136">
        <f t="shared" si="27"/>
        <v>48.9778819368446</v>
      </c>
      <c r="AZ21" s="41"/>
      <c r="BA21" s="160">
        <f t="shared" si="11"/>
        <v>58.868568951818695</v>
      </c>
      <c r="BB21" s="161">
        <f t="shared" si="12"/>
        <v>89.99943185269551</v>
      </c>
      <c r="BD21" s="31" t="s">
        <v>119</v>
      </c>
      <c r="BE21" s="32">
        <v>5000</v>
      </c>
      <c r="BG21" s="74" t="s">
        <v>150</v>
      </c>
      <c r="BH21" s="75">
        <f>SUMPRODUCT(Sample,xObs2,Illuminant_D50)/SUMPRODUCT(yObs2,Illuminant_D50)</f>
        <v>0.11495328538703636</v>
      </c>
      <c r="BI21" s="75">
        <f>SUMPRODUCT(Sample,yObs2,Illuminant_D50)/SUMPRODUCT(yObs2,Illuminant_D50)</f>
        <v>0.0993812618226005</v>
      </c>
      <c r="BJ21" s="76">
        <f>SUMPRODUCT(Sample,zObs2,Illuminant_D50)/SUMPRODUCT(yObs2,Illuminant_D50)</f>
        <v>0.046987733723449165</v>
      </c>
    </row>
    <row r="22" spans="2:62" ht="12.75" thickBot="1">
      <c r="B22" s="49">
        <v>430</v>
      </c>
      <c r="C22" s="50">
        <v>0.2839</v>
      </c>
      <c r="D22" s="50">
        <v>0.0116</v>
      </c>
      <c r="E22" s="51">
        <v>1.3856</v>
      </c>
      <c r="F22" s="50">
        <v>0.314679</v>
      </c>
      <c r="G22" s="51">
        <v>0.038676</v>
      </c>
      <c r="H22" s="50">
        <v>1.55348</v>
      </c>
      <c r="I22" s="135">
        <f t="shared" si="7"/>
        <v>24.682341968445268</v>
      </c>
      <c r="J22" s="52">
        <v>73.1</v>
      </c>
      <c r="K22" s="53">
        <v>112.4</v>
      </c>
      <c r="L22" s="52">
        <f t="shared" si="10"/>
        <v>57.76397462321114</v>
      </c>
      <c r="M22" s="53">
        <v>100</v>
      </c>
      <c r="N22" s="53">
        <v>5.06</v>
      </c>
      <c r="O22" s="52">
        <v>9.15</v>
      </c>
      <c r="P22" s="53">
        <v>4.49</v>
      </c>
      <c r="Q22" s="42">
        <f t="shared" si="8"/>
        <v>78.86830889026535</v>
      </c>
      <c r="R22" s="53">
        <v>96.8</v>
      </c>
      <c r="S22" s="52">
        <v>37.1</v>
      </c>
      <c r="T22" s="53">
        <v>-1.2</v>
      </c>
      <c r="U22" s="67">
        <v>2.447</v>
      </c>
      <c r="V22" s="47">
        <v>1.64</v>
      </c>
      <c r="W22" s="46">
        <v>5</v>
      </c>
      <c r="X22" s="140">
        <f t="shared" si="0"/>
        <v>-43.33200000000002</v>
      </c>
      <c r="Y22" s="138">
        <f t="shared" si="1"/>
        <v>-13.749999999999998</v>
      </c>
      <c r="Z22" s="140">
        <v>4.819</v>
      </c>
      <c r="AA22" s="138">
        <v>0</v>
      </c>
      <c r="AB22" s="140">
        <v>-10</v>
      </c>
      <c r="AC22" s="138">
        <v>4.914</v>
      </c>
      <c r="AD22" s="140">
        <f t="shared" si="3"/>
        <v>-47.29099999999998</v>
      </c>
      <c r="AE22" s="138">
        <f t="shared" si="4"/>
        <v>-3.088000000000001</v>
      </c>
      <c r="AF22" s="140">
        <v>4.632</v>
      </c>
      <c r="AG22" s="138">
        <v>-10</v>
      </c>
      <c r="AH22" s="140">
        <v>-10</v>
      </c>
      <c r="AI22" s="142">
        <v>4.778</v>
      </c>
      <c r="AJ22" s="46"/>
      <c r="AK22" s="149">
        <f t="shared" si="9"/>
        <v>0.2798981319634364</v>
      </c>
      <c r="AL22" s="151">
        <f t="shared" si="14"/>
        <v>0.04365158322401661</v>
      </c>
      <c r="AM22" s="135">
        <f t="shared" si="15"/>
        <v>100</v>
      </c>
      <c r="AN22" s="151">
        <f t="shared" si="16"/>
        <v>4.655860935229294E-47</v>
      </c>
      <c r="AO22" s="135">
        <f t="shared" si="17"/>
        <v>1.7782794100389228E-17</v>
      </c>
      <c r="AP22" s="151">
        <f t="shared" si="18"/>
        <v>65.91738952443222</v>
      </c>
      <c r="AQ22" s="135">
        <f t="shared" si="19"/>
        <v>0.001</v>
      </c>
      <c r="AR22" s="151">
        <f t="shared" si="20"/>
        <v>1E-13</v>
      </c>
      <c r="AS22" s="135">
        <f t="shared" si="21"/>
        <v>82.03515443298184</v>
      </c>
      <c r="AT22" s="151">
        <f t="shared" si="22"/>
        <v>5.1168183554032217E-51</v>
      </c>
      <c r="AU22" s="135">
        <f t="shared" si="23"/>
        <v>8.1658237135859E-07</v>
      </c>
      <c r="AV22" s="151">
        <f t="shared" si="24"/>
        <v>42.85485203974394</v>
      </c>
      <c r="AW22" s="135">
        <f t="shared" si="25"/>
        <v>1E-13</v>
      </c>
      <c r="AX22" s="151">
        <f t="shared" si="26"/>
        <v>1E-13</v>
      </c>
      <c r="AY22" s="136">
        <f t="shared" si="27"/>
        <v>59.979107625550995</v>
      </c>
      <c r="AZ22" s="41"/>
      <c r="BA22" s="160">
        <f t="shared" si="11"/>
        <v>57.76397462321114</v>
      </c>
      <c r="BB22" s="161">
        <f t="shared" si="12"/>
        <v>86.62934950576683</v>
      </c>
      <c r="BD22" s="31" t="s">
        <v>64</v>
      </c>
      <c r="BE22" s="32">
        <f>1/BE21</f>
        <v>0.0002</v>
      </c>
      <c r="BG22" s="77" t="s">
        <v>151</v>
      </c>
      <c r="BH22" s="78">
        <f>SUMPRODUCT(Sample,xObs2,Illuminant_D65)/SUMPRODUCT(yObs2,Illuminant_D65)</f>
        <v>0.10810789632612519</v>
      </c>
      <c r="BI22" s="78">
        <f>SUMPRODUCT(Sample,yObs2,Illuminant_D65)/SUMPRODUCT(yObs2,Illuminant_D65)</f>
        <v>0.0967414528882855</v>
      </c>
      <c r="BJ22" s="79">
        <f>SUMPRODUCT(Sample,zObs2,Illuminant_D65)/SUMPRODUCT(yObs2,Illuminant_D65)</f>
        <v>0.06199254012935254</v>
      </c>
    </row>
    <row r="23" spans="2:57" ht="12">
      <c r="B23" s="49">
        <v>435</v>
      </c>
      <c r="C23" s="50">
        <v>0.3285</v>
      </c>
      <c r="D23" s="50">
        <v>0.01684</v>
      </c>
      <c r="E23" s="51">
        <v>1.62296</v>
      </c>
      <c r="F23" s="50">
        <v>0.357719</v>
      </c>
      <c r="G23" s="51">
        <v>0.049602</v>
      </c>
      <c r="H23" s="50">
        <v>1.7985</v>
      </c>
      <c r="I23" s="135">
        <f t="shared" si="7"/>
        <v>26.6542543298983</v>
      </c>
      <c r="J23" s="52">
        <v>77.31</v>
      </c>
      <c r="K23" s="53">
        <v>117.75</v>
      </c>
      <c r="L23" s="52">
        <f t="shared" si="10"/>
        <v>66.26531445992232</v>
      </c>
      <c r="M23" s="53">
        <v>100</v>
      </c>
      <c r="N23" s="53">
        <v>34.98</v>
      </c>
      <c r="O23" s="52">
        <v>44.14</v>
      </c>
      <c r="P23" s="53">
        <v>33.94</v>
      </c>
      <c r="Q23" s="42">
        <f t="shared" si="8"/>
        <v>80.3984235623884</v>
      </c>
      <c r="R23" s="53">
        <v>105.35</v>
      </c>
      <c r="S23" s="52">
        <v>36.9</v>
      </c>
      <c r="T23" s="53">
        <v>-1.9</v>
      </c>
      <c r="U23" s="67">
        <f aca="true" t="shared" si="29" ref="U23:AI23">AVERAGE(U22,U24)</f>
        <v>2.629</v>
      </c>
      <c r="V23" s="47">
        <f t="shared" si="29"/>
        <v>1.3199999999999998</v>
      </c>
      <c r="W23" s="46">
        <f t="shared" si="29"/>
        <v>4.995</v>
      </c>
      <c r="X23" s="140">
        <f t="shared" si="0"/>
        <v>-41.98200000000002</v>
      </c>
      <c r="Y23" s="138">
        <f t="shared" si="1"/>
        <v>-12.649999999999999</v>
      </c>
      <c r="Z23" s="140">
        <f t="shared" si="29"/>
        <v>4.9094999999999995</v>
      </c>
      <c r="AA23" s="138">
        <f t="shared" si="29"/>
        <v>0</v>
      </c>
      <c r="AB23" s="140">
        <v>-10</v>
      </c>
      <c r="AC23" s="138">
        <f t="shared" si="29"/>
        <v>4.957</v>
      </c>
      <c r="AD23" s="140">
        <f t="shared" si="3"/>
        <v>-45.990999999999985</v>
      </c>
      <c r="AE23" s="138">
        <f t="shared" si="4"/>
        <v>-2.5580000000000007</v>
      </c>
      <c r="AF23" s="140">
        <f t="shared" si="29"/>
        <v>4.7515</v>
      </c>
      <c r="AG23" s="138">
        <v>-10</v>
      </c>
      <c r="AH23" s="140">
        <v>-10</v>
      </c>
      <c r="AI23" s="142">
        <f t="shared" si="29"/>
        <v>4.846</v>
      </c>
      <c r="AJ23" s="46"/>
      <c r="AK23" s="149">
        <f t="shared" si="9"/>
        <v>0.4255984131337434</v>
      </c>
      <c r="AL23" s="151">
        <f t="shared" si="14"/>
        <v>0.020892961308540393</v>
      </c>
      <c r="AM23" s="135">
        <f t="shared" si="15"/>
        <v>98.85530946569408</v>
      </c>
      <c r="AN23" s="151">
        <f t="shared" si="16"/>
        <v>1.0423174293932392E-45</v>
      </c>
      <c r="AO23" s="135">
        <f t="shared" si="17"/>
        <v>2.23872113856834E-16</v>
      </c>
      <c r="AP23" s="151">
        <f t="shared" si="18"/>
        <v>81.18952489356754</v>
      </c>
      <c r="AQ23" s="135">
        <f t="shared" si="19"/>
        <v>0.001</v>
      </c>
      <c r="AR23" s="151">
        <f t="shared" si="20"/>
        <v>1E-13</v>
      </c>
      <c r="AS23" s="135">
        <f t="shared" si="21"/>
        <v>90.57326008982004</v>
      </c>
      <c r="AT23" s="151">
        <f t="shared" si="22"/>
        <v>1.0209394837077107E-49</v>
      </c>
      <c r="AU23" s="135">
        <f t="shared" si="23"/>
        <v>2.766941645411504E-06</v>
      </c>
      <c r="AV23" s="151">
        <f t="shared" si="24"/>
        <v>56.42869413451047</v>
      </c>
      <c r="AW23" s="135">
        <f t="shared" si="25"/>
        <v>1E-13</v>
      </c>
      <c r="AX23" s="151">
        <f t="shared" si="26"/>
        <v>1E-13</v>
      </c>
      <c r="AY23" s="136">
        <f t="shared" si="27"/>
        <v>70.14552984199716</v>
      </c>
      <c r="AZ23" s="41"/>
      <c r="BA23" s="160">
        <f t="shared" si="11"/>
        <v>66.26531445992232</v>
      </c>
      <c r="BB23" s="161">
        <f t="shared" si="12"/>
        <v>95.72057197191701</v>
      </c>
      <c r="BD23" s="31" t="s">
        <v>65</v>
      </c>
      <c r="BE23" s="32">
        <f>IF(BE21&lt;=7000,((-4607000000*BE22+2967800)*BE22+99.11)*BE22+0.244063,((-2006400000*BE22+1901800)*BE22+247.48)*BE22+0.23704)</f>
        <v>0.345741</v>
      </c>
    </row>
    <row r="24" spans="2:57" ht="12">
      <c r="B24" s="49">
        <v>440</v>
      </c>
      <c r="C24" s="50">
        <v>0.34828</v>
      </c>
      <c r="D24" s="50">
        <v>0.023</v>
      </c>
      <c r="E24" s="51">
        <v>1.74706</v>
      </c>
      <c r="F24" s="50">
        <v>0.383734</v>
      </c>
      <c r="G24" s="51">
        <v>0.062077</v>
      </c>
      <c r="H24" s="50">
        <v>1.96728</v>
      </c>
      <c r="I24" s="135">
        <f t="shared" si="7"/>
        <v>28.714714597903228</v>
      </c>
      <c r="J24" s="52">
        <v>80.8</v>
      </c>
      <c r="K24" s="53">
        <v>121.5</v>
      </c>
      <c r="L24" s="52">
        <f t="shared" si="10"/>
        <v>74.7666542966335</v>
      </c>
      <c r="M24" s="53">
        <v>100</v>
      </c>
      <c r="N24" s="53">
        <v>11.81</v>
      </c>
      <c r="O24" s="52">
        <v>17.52</v>
      </c>
      <c r="P24" s="53">
        <v>12.13</v>
      </c>
      <c r="Q24" s="42">
        <f t="shared" si="8"/>
        <v>81.86958284538234</v>
      </c>
      <c r="R24" s="53">
        <v>113.9</v>
      </c>
      <c r="S24" s="52">
        <v>36.7</v>
      </c>
      <c r="T24" s="53">
        <v>-2.6</v>
      </c>
      <c r="U24" s="67">
        <v>2.811</v>
      </c>
      <c r="V24" s="47">
        <v>1</v>
      </c>
      <c r="W24" s="46">
        <v>4.99</v>
      </c>
      <c r="X24" s="140">
        <f t="shared" si="0"/>
        <v>-40.63200000000002</v>
      </c>
      <c r="Y24" s="138">
        <f t="shared" si="1"/>
        <v>-11.549999999999999</v>
      </c>
      <c r="Z24" s="140">
        <v>5</v>
      </c>
      <c r="AA24" s="138">
        <v>0</v>
      </c>
      <c r="AB24" s="140">
        <v>-10</v>
      </c>
      <c r="AC24" s="138">
        <v>5</v>
      </c>
      <c r="AD24" s="140">
        <f t="shared" si="3"/>
        <v>-44.69099999999999</v>
      </c>
      <c r="AE24" s="138">
        <f t="shared" si="4"/>
        <v>-2.0280000000000005</v>
      </c>
      <c r="AF24" s="140">
        <v>4.871</v>
      </c>
      <c r="AG24" s="138">
        <v>-10</v>
      </c>
      <c r="AH24" s="140">
        <v>-10</v>
      </c>
      <c r="AI24" s="142">
        <v>4.914</v>
      </c>
      <c r="AJ24" s="46"/>
      <c r="AK24" s="149">
        <f t="shared" si="9"/>
        <v>0.6471426157485834</v>
      </c>
      <c r="AL24" s="151">
        <f t="shared" si="14"/>
        <v>0.01</v>
      </c>
      <c r="AM24" s="135">
        <f t="shared" si="15"/>
        <v>97.72372209558127</v>
      </c>
      <c r="AN24" s="151">
        <f t="shared" si="16"/>
        <v>2.333458062280894E-44</v>
      </c>
      <c r="AO24" s="135">
        <f t="shared" si="17"/>
        <v>2.8183829312644546E-15</v>
      </c>
      <c r="AP24" s="151">
        <f t="shared" si="18"/>
        <v>100</v>
      </c>
      <c r="AQ24" s="135">
        <f t="shared" si="19"/>
        <v>0.001</v>
      </c>
      <c r="AR24" s="151">
        <f t="shared" si="20"/>
        <v>1E-13</v>
      </c>
      <c r="AS24" s="135">
        <f t="shared" si="21"/>
        <v>100</v>
      </c>
      <c r="AT24" s="151">
        <f t="shared" si="22"/>
        <v>2.037042077705754E-48</v>
      </c>
      <c r="AU24" s="135">
        <f t="shared" si="23"/>
        <v>9.37562006925879E-06</v>
      </c>
      <c r="AV24" s="151">
        <f t="shared" si="24"/>
        <v>74.30191378967031</v>
      </c>
      <c r="AW24" s="135">
        <f t="shared" si="25"/>
        <v>1E-13</v>
      </c>
      <c r="AX24" s="151">
        <f t="shared" si="26"/>
        <v>1E-13</v>
      </c>
      <c r="AY24" s="136">
        <f t="shared" si="27"/>
        <v>82.03515443298184</v>
      </c>
      <c r="AZ24" s="41"/>
      <c r="BA24" s="160">
        <f t="shared" si="11"/>
        <v>74.7666542966335</v>
      </c>
      <c r="BB24" s="161">
        <f t="shared" si="12"/>
        <v>104.81179443806724</v>
      </c>
      <c r="BD24" s="31" t="s">
        <v>66</v>
      </c>
      <c r="BE24" s="32">
        <f>(-3*BE23+2.87)*BE23-0.275</f>
        <v>0.3586661527570001</v>
      </c>
    </row>
    <row r="25" spans="2:57" ht="12">
      <c r="B25" s="49">
        <v>445</v>
      </c>
      <c r="C25" s="50">
        <v>0.34806</v>
      </c>
      <c r="D25" s="50">
        <v>0.0298</v>
      </c>
      <c r="E25" s="51">
        <v>1.7826</v>
      </c>
      <c r="F25" s="50">
        <v>0.386726</v>
      </c>
      <c r="G25" s="51">
        <v>0.074704</v>
      </c>
      <c r="H25" s="50">
        <v>2.0273</v>
      </c>
      <c r="I25" s="135">
        <f t="shared" si="7"/>
        <v>30.863032063366678</v>
      </c>
      <c r="J25" s="52">
        <v>83.44</v>
      </c>
      <c r="K25" s="53">
        <v>123.45</v>
      </c>
      <c r="L25" s="52">
        <f t="shared" si="10"/>
        <v>80.97777049873636</v>
      </c>
      <c r="M25" s="53">
        <v>100</v>
      </c>
      <c r="N25" s="53">
        <v>6.27</v>
      </c>
      <c r="O25" s="52">
        <v>11.35</v>
      </c>
      <c r="P25" s="53">
        <v>6.95</v>
      </c>
      <c r="Q25" s="42">
        <f t="shared" si="8"/>
        <v>83.28117198060343</v>
      </c>
      <c r="R25" s="53">
        <v>119.75</v>
      </c>
      <c r="S25" s="52">
        <v>36.3</v>
      </c>
      <c r="T25" s="53">
        <v>-2.75</v>
      </c>
      <c r="U25" s="67">
        <f>AVERAGE(U24,U26)</f>
        <v>2.9505</v>
      </c>
      <c r="V25" s="47">
        <v>-10</v>
      </c>
      <c r="W25" s="46">
        <f aca="true" t="shared" si="30" ref="W25:AI25">AVERAGE(W24,W26)</f>
        <v>4.9704999999999995</v>
      </c>
      <c r="X25" s="140">
        <f t="shared" si="0"/>
        <v>-39.28200000000002</v>
      </c>
      <c r="Y25" s="138">
        <f t="shared" si="1"/>
        <v>-10.45</v>
      </c>
      <c r="Z25" s="140">
        <f t="shared" si="30"/>
        <v>4.9559999999999995</v>
      </c>
      <c r="AA25" s="138">
        <f t="shared" si="30"/>
        <v>0</v>
      </c>
      <c r="AB25" s="140">
        <v>-10</v>
      </c>
      <c r="AC25" s="138">
        <f t="shared" si="30"/>
        <v>4.9795</v>
      </c>
      <c r="AD25" s="140">
        <f t="shared" si="3"/>
        <v>-43.39099999999999</v>
      </c>
      <c r="AE25" s="138">
        <f t="shared" si="4"/>
        <v>-1.4980000000000002</v>
      </c>
      <c r="AF25" s="140">
        <f t="shared" si="30"/>
        <v>4.9355</v>
      </c>
      <c r="AG25" s="138">
        <v>-10</v>
      </c>
      <c r="AH25" s="140">
        <v>-10</v>
      </c>
      <c r="AI25" s="142">
        <f t="shared" si="30"/>
        <v>4.9435</v>
      </c>
      <c r="AJ25" s="46"/>
      <c r="AK25" s="149">
        <f t="shared" si="9"/>
        <v>0.8922776195878274</v>
      </c>
      <c r="AL25" s="151">
        <f t="shared" si="14"/>
        <v>1E-13</v>
      </c>
      <c r="AM25" s="135">
        <f t="shared" si="15"/>
        <v>93.43293682573132</v>
      </c>
      <c r="AN25" s="151">
        <f t="shared" si="16"/>
        <v>5.223961889990961E-43</v>
      </c>
      <c r="AO25" s="135">
        <f t="shared" si="17"/>
        <v>3.548133892335756E-14</v>
      </c>
      <c r="AP25" s="151">
        <f t="shared" si="18"/>
        <v>90.3649473722301</v>
      </c>
      <c r="AQ25" s="135">
        <f t="shared" si="19"/>
        <v>0.001</v>
      </c>
      <c r="AR25" s="151">
        <f t="shared" si="20"/>
        <v>1E-13</v>
      </c>
      <c r="AS25" s="135">
        <f t="shared" si="21"/>
        <v>95.3893742841545</v>
      </c>
      <c r="AT25" s="151">
        <f t="shared" si="22"/>
        <v>4.0644332916521494E-47</v>
      </c>
      <c r="AU25" s="135">
        <f t="shared" si="23"/>
        <v>3.176874070649768E-05</v>
      </c>
      <c r="AV25" s="151">
        <f t="shared" si="24"/>
        <v>86.19855787057595</v>
      </c>
      <c r="AW25" s="135">
        <f t="shared" si="25"/>
        <v>1E-13</v>
      </c>
      <c r="AX25" s="151">
        <f t="shared" si="26"/>
        <v>1E-13</v>
      </c>
      <c r="AY25" s="136">
        <f t="shared" si="27"/>
        <v>87.8011087096531</v>
      </c>
      <c r="AZ25" s="41"/>
      <c r="BA25" s="160">
        <f t="shared" si="11"/>
        <v>80.97777049873636</v>
      </c>
      <c r="BB25" s="161">
        <f t="shared" si="12"/>
        <v>110.88363161591676</v>
      </c>
      <c r="BD25" s="31" t="s">
        <v>67</v>
      </c>
      <c r="BE25" s="32">
        <f>0.0241+0.2562*BE23-0.734*BE24</f>
        <v>-0.15058211192363805</v>
      </c>
    </row>
    <row r="26" spans="2:57" ht="12">
      <c r="B26" s="49">
        <v>450</v>
      </c>
      <c r="C26" s="50">
        <v>0.3362</v>
      </c>
      <c r="D26" s="50">
        <v>0.038</v>
      </c>
      <c r="E26" s="51">
        <v>1.77211</v>
      </c>
      <c r="F26" s="50">
        <v>0.370702</v>
      </c>
      <c r="G26" s="51">
        <v>0.089456</v>
      </c>
      <c r="H26" s="50">
        <v>1.9948</v>
      </c>
      <c r="I26" s="135">
        <f t="shared" si="7"/>
        <v>33.098273955464286</v>
      </c>
      <c r="J26" s="52">
        <v>85.4</v>
      </c>
      <c r="K26" s="53">
        <v>124</v>
      </c>
      <c r="L26" s="52">
        <f t="shared" si="10"/>
        <v>87.18888670083923</v>
      </c>
      <c r="M26" s="53">
        <v>100</v>
      </c>
      <c r="N26" s="53">
        <v>6.63</v>
      </c>
      <c r="O26" s="52">
        <v>12</v>
      </c>
      <c r="P26" s="53">
        <v>7.19</v>
      </c>
      <c r="Q26" s="42">
        <f t="shared" si="8"/>
        <v>84.63276515313679</v>
      </c>
      <c r="R26" s="53">
        <v>125.6</v>
      </c>
      <c r="S26" s="52">
        <v>35.9</v>
      </c>
      <c r="T26" s="53">
        <v>-2.9</v>
      </c>
      <c r="U26" s="67">
        <v>3.09</v>
      </c>
      <c r="V26" s="47">
        <v>-10</v>
      </c>
      <c r="W26" s="46">
        <v>4.951</v>
      </c>
      <c r="X26" s="140">
        <f t="shared" si="0"/>
        <v>-37.932000000000016</v>
      </c>
      <c r="Y26" s="138">
        <f t="shared" si="1"/>
        <v>-9.35</v>
      </c>
      <c r="Z26" s="140">
        <v>4.912</v>
      </c>
      <c r="AA26" s="138">
        <v>0</v>
      </c>
      <c r="AB26" s="140">
        <v>-10</v>
      </c>
      <c r="AC26" s="138">
        <v>4.959</v>
      </c>
      <c r="AD26" s="140">
        <f t="shared" si="3"/>
        <v>-42.090999999999994</v>
      </c>
      <c r="AE26" s="138">
        <f t="shared" si="4"/>
        <v>-0.9680000000000002</v>
      </c>
      <c r="AF26" s="140">
        <v>5</v>
      </c>
      <c r="AG26" s="138">
        <v>-10</v>
      </c>
      <c r="AH26" s="140">
        <v>-10</v>
      </c>
      <c r="AI26" s="142">
        <v>4.973</v>
      </c>
      <c r="AJ26" s="46"/>
      <c r="AK26" s="149">
        <f t="shared" si="9"/>
        <v>1.2302687708123825</v>
      </c>
      <c r="AL26" s="151">
        <f t="shared" si="14"/>
        <v>1E-13</v>
      </c>
      <c r="AM26" s="135">
        <f t="shared" si="15"/>
        <v>89.33054837332948</v>
      </c>
      <c r="AN26" s="151">
        <f t="shared" si="16"/>
        <v>1.1694993910198194E-41</v>
      </c>
      <c r="AO26" s="135">
        <f t="shared" si="17"/>
        <v>4.4668359215096337E-13</v>
      </c>
      <c r="AP26" s="151">
        <f t="shared" si="18"/>
        <v>81.6582371358593</v>
      </c>
      <c r="AQ26" s="135">
        <f t="shared" si="19"/>
        <v>0.001</v>
      </c>
      <c r="AR26" s="151">
        <f t="shared" si="20"/>
        <v>1E-13</v>
      </c>
      <c r="AS26" s="135">
        <f t="shared" si="21"/>
        <v>90.99132726322514</v>
      </c>
      <c r="AT26" s="151">
        <f t="shared" si="22"/>
        <v>8.109610578538465E-46</v>
      </c>
      <c r="AU26" s="135">
        <f t="shared" si="23"/>
        <v>0.0001076465213629834</v>
      </c>
      <c r="AV26" s="151">
        <f t="shared" si="24"/>
        <v>100</v>
      </c>
      <c r="AW26" s="135">
        <f t="shared" si="25"/>
        <v>1E-13</v>
      </c>
      <c r="AX26" s="151">
        <f t="shared" si="26"/>
        <v>1E-13</v>
      </c>
      <c r="AY26" s="136">
        <f t="shared" si="27"/>
        <v>93.97233105646386</v>
      </c>
      <c r="AZ26" s="41"/>
      <c r="BA26" s="160">
        <f t="shared" si="11"/>
        <v>87.18888670083923</v>
      </c>
      <c r="BB26" s="161">
        <f t="shared" si="12"/>
        <v>116.95546879376629</v>
      </c>
      <c r="BD26" s="31" t="s">
        <v>68</v>
      </c>
      <c r="BE26" s="32">
        <f>(-1.3515-1.7703*BE23+5.9114*BE24)/BE25</f>
        <v>-1.040321463861336</v>
      </c>
    </row>
    <row r="27" spans="2:57" ht="12.75" thickBot="1">
      <c r="B27" s="49">
        <v>455</v>
      </c>
      <c r="C27" s="50">
        <v>0.3187</v>
      </c>
      <c r="D27" s="50">
        <v>0.048</v>
      </c>
      <c r="E27" s="51">
        <v>1.7441</v>
      </c>
      <c r="F27" s="50">
        <v>0.342957</v>
      </c>
      <c r="G27" s="51">
        <v>0.106256</v>
      </c>
      <c r="H27" s="50">
        <v>1.9007</v>
      </c>
      <c r="I27" s="135">
        <f t="shared" si="7"/>
        <v>35.419273604766616</v>
      </c>
      <c r="J27" s="52">
        <v>86.88</v>
      </c>
      <c r="K27" s="53">
        <v>123.6</v>
      </c>
      <c r="L27" s="52">
        <f t="shared" si="10"/>
        <v>88.87375457735767</v>
      </c>
      <c r="M27" s="53">
        <v>100</v>
      </c>
      <c r="N27" s="53">
        <v>6.93</v>
      </c>
      <c r="O27" s="52">
        <v>12.58</v>
      </c>
      <c r="P27" s="53">
        <v>7.12</v>
      </c>
      <c r="Q27" s="42">
        <f t="shared" si="8"/>
        <v>85.92411369979162</v>
      </c>
      <c r="R27" s="53">
        <v>125.55</v>
      </c>
      <c r="S27" s="52">
        <v>34.25</v>
      </c>
      <c r="T27" s="53">
        <v>-2.85</v>
      </c>
      <c r="U27" s="67">
        <f>AVERAGE(U26,U28)</f>
        <v>3.218</v>
      </c>
      <c r="V27" s="47">
        <v>-10</v>
      </c>
      <c r="W27" s="46">
        <f aca="true" t="shared" si="31" ref="W27:AI27">AVERAGE(W26,W28)</f>
        <v>4.9075</v>
      </c>
      <c r="X27" s="140">
        <f t="shared" si="0"/>
        <v>-36.582000000000015</v>
      </c>
      <c r="Y27" s="138">
        <f t="shared" si="1"/>
        <v>-8.25</v>
      </c>
      <c r="Z27" s="140">
        <f t="shared" si="31"/>
        <v>4.766</v>
      </c>
      <c r="AA27" s="138">
        <f t="shared" si="31"/>
        <v>0</v>
      </c>
      <c r="AB27" s="140">
        <v>-10</v>
      </c>
      <c r="AC27" s="138">
        <f t="shared" si="31"/>
        <v>4.92</v>
      </c>
      <c r="AD27" s="140">
        <f t="shared" si="3"/>
        <v>-40.791</v>
      </c>
      <c r="AE27" s="138">
        <f t="shared" si="4"/>
        <v>-0.43800000000000017</v>
      </c>
      <c r="AF27" s="140">
        <f t="shared" si="31"/>
        <v>4.9775</v>
      </c>
      <c r="AG27" s="138">
        <v>-10</v>
      </c>
      <c r="AH27" s="140">
        <v>-10</v>
      </c>
      <c r="AI27" s="142">
        <f t="shared" si="31"/>
        <v>4.9864999999999995</v>
      </c>
      <c r="AJ27" s="46"/>
      <c r="AK27" s="149">
        <f t="shared" si="9"/>
        <v>1.651961798229016</v>
      </c>
      <c r="AL27" s="151">
        <f t="shared" si="14"/>
        <v>1E-13</v>
      </c>
      <c r="AM27" s="135">
        <f t="shared" si="15"/>
        <v>80.8164929112538</v>
      </c>
      <c r="AN27" s="151">
        <f t="shared" si="16"/>
        <v>2.6181830082188735E-40</v>
      </c>
      <c r="AO27" s="135">
        <f t="shared" si="17"/>
        <v>5.623413251903474E-12</v>
      </c>
      <c r="AP27" s="151">
        <f t="shared" si="18"/>
        <v>58.34451042737455</v>
      </c>
      <c r="AQ27" s="135">
        <f t="shared" si="19"/>
        <v>0.001</v>
      </c>
      <c r="AR27" s="151">
        <f t="shared" si="20"/>
        <v>1E-13</v>
      </c>
      <c r="AS27" s="135">
        <f t="shared" si="21"/>
        <v>83.17637711026717</v>
      </c>
      <c r="AT27" s="151">
        <f t="shared" si="22"/>
        <v>1.6180800376430571E-44</v>
      </c>
      <c r="AU27" s="135">
        <f t="shared" si="23"/>
        <v>0.0003647539469256077</v>
      </c>
      <c r="AV27" s="151">
        <f t="shared" si="24"/>
        <v>94.95109992021986</v>
      </c>
      <c r="AW27" s="135">
        <f t="shared" si="25"/>
        <v>1E-13</v>
      </c>
      <c r="AX27" s="151">
        <f t="shared" si="26"/>
        <v>1E-13</v>
      </c>
      <c r="AY27" s="136">
        <f t="shared" si="27"/>
        <v>96.93932693002552</v>
      </c>
      <c r="AZ27" s="41"/>
      <c r="BA27" s="160">
        <f t="shared" si="11"/>
        <v>88.87375457735767</v>
      </c>
      <c r="BB27" s="161">
        <f t="shared" si="12"/>
        <v>117.36012200376439</v>
      </c>
      <c r="BD27" s="54" t="s">
        <v>69</v>
      </c>
      <c r="BE27" s="55">
        <f>(0.03-31.4424*BE23+30.0717*BE24)/BE25</f>
        <v>0.3667492229444103</v>
      </c>
    </row>
    <row r="28" spans="2:54" ht="12.75" thickBot="1">
      <c r="B28" s="49">
        <v>460</v>
      </c>
      <c r="C28" s="50">
        <v>0.2908</v>
      </c>
      <c r="D28" s="50">
        <v>0.06</v>
      </c>
      <c r="E28" s="51">
        <v>1.6692</v>
      </c>
      <c r="F28" s="50">
        <v>0.302273</v>
      </c>
      <c r="G28" s="51">
        <v>0.128201</v>
      </c>
      <c r="H28" s="50">
        <v>1.74537</v>
      </c>
      <c r="I28" s="135">
        <f t="shared" si="7"/>
        <v>37.82463957906882</v>
      </c>
      <c r="J28" s="52">
        <v>88.3</v>
      </c>
      <c r="K28" s="53">
        <v>123.1</v>
      </c>
      <c r="L28" s="52">
        <f t="shared" si="10"/>
        <v>90.5586224538761</v>
      </c>
      <c r="M28" s="53">
        <v>100</v>
      </c>
      <c r="N28" s="53">
        <v>7.19</v>
      </c>
      <c r="O28" s="52">
        <v>13.08</v>
      </c>
      <c r="P28" s="53">
        <v>6.72</v>
      </c>
      <c r="Q28" s="42">
        <f t="shared" si="8"/>
        <v>87.15513443178799</v>
      </c>
      <c r="R28" s="53">
        <v>125.5</v>
      </c>
      <c r="S28" s="52">
        <v>32.6</v>
      </c>
      <c r="T28" s="53">
        <v>-2.8</v>
      </c>
      <c r="U28" s="67">
        <v>3.346</v>
      </c>
      <c r="V28" s="47">
        <v>-10</v>
      </c>
      <c r="W28" s="46">
        <v>4.864</v>
      </c>
      <c r="X28" s="140">
        <f t="shared" si="0"/>
        <v>-35.23200000000001</v>
      </c>
      <c r="Y28" s="138">
        <f t="shared" si="1"/>
        <v>-7.15</v>
      </c>
      <c r="Z28" s="140">
        <v>4.62</v>
      </c>
      <c r="AA28" s="138">
        <v>0</v>
      </c>
      <c r="AB28" s="140">
        <v>-10</v>
      </c>
      <c r="AC28" s="138">
        <v>4.881</v>
      </c>
      <c r="AD28" s="140">
        <f t="shared" si="3"/>
        <v>-39.491</v>
      </c>
      <c r="AE28" s="138">
        <f>AE29-0.53</f>
        <v>0.09199999999999986</v>
      </c>
      <c r="AF28" s="140">
        <v>4.955</v>
      </c>
      <c r="AG28" s="138">
        <v>-10</v>
      </c>
      <c r="AH28" s="140">
        <v>-10</v>
      </c>
      <c r="AI28" s="142">
        <v>5</v>
      </c>
      <c r="AJ28" s="46"/>
      <c r="AK28" s="149">
        <f t="shared" si="9"/>
        <v>2.2181964198002206</v>
      </c>
      <c r="AL28" s="151">
        <f t="shared" si="14"/>
        <v>1E-13</v>
      </c>
      <c r="AM28" s="135">
        <f t="shared" si="15"/>
        <v>73.11390834834181</v>
      </c>
      <c r="AN28" s="151">
        <f t="shared" si="16"/>
        <v>5.861381645140044E-39</v>
      </c>
      <c r="AO28" s="135">
        <f t="shared" si="17"/>
        <v>7.07945784384136E-11</v>
      </c>
      <c r="AP28" s="151">
        <f t="shared" si="18"/>
        <v>41.686938347033625</v>
      </c>
      <c r="AQ28" s="135">
        <f t="shared" si="19"/>
        <v>0.001</v>
      </c>
      <c r="AR28" s="151">
        <f t="shared" si="20"/>
        <v>1E-13</v>
      </c>
      <c r="AS28" s="135">
        <f t="shared" si="21"/>
        <v>76.03262769401834</v>
      </c>
      <c r="AT28" s="151">
        <f t="shared" si="22"/>
        <v>3.2284941217126236E-43</v>
      </c>
      <c r="AU28" s="135">
        <f t="shared" si="23"/>
        <v>0.0012359474334445101</v>
      </c>
      <c r="AV28" s="151">
        <f t="shared" si="24"/>
        <v>90.15711376059575</v>
      </c>
      <c r="AW28" s="135">
        <f t="shared" si="25"/>
        <v>1E-13</v>
      </c>
      <c r="AX28" s="151">
        <f t="shared" si="26"/>
        <v>1E-13</v>
      </c>
      <c r="AY28" s="136">
        <f t="shared" si="27"/>
        <v>100</v>
      </c>
      <c r="AZ28" s="41"/>
      <c r="BA28" s="160">
        <f t="shared" si="11"/>
        <v>90.5586224538761</v>
      </c>
      <c r="BB28" s="161">
        <f t="shared" si="12"/>
        <v>117.7647752137625</v>
      </c>
    </row>
    <row r="29" spans="2:57" ht="12.75" thickBot="1">
      <c r="B29" s="49">
        <v>465</v>
      </c>
      <c r="C29" s="50">
        <v>0.2511</v>
      </c>
      <c r="D29" s="50">
        <v>0.0739</v>
      </c>
      <c r="E29" s="51">
        <v>1.5281</v>
      </c>
      <c r="F29" s="50">
        <v>0.254085</v>
      </c>
      <c r="G29" s="51">
        <v>0.152761</v>
      </c>
      <c r="H29" s="50">
        <v>1.5549</v>
      </c>
      <c r="I29" s="135">
        <f t="shared" si="7"/>
        <v>40.312765665378905</v>
      </c>
      <c r="J29" s="52">
        <v>90.08</v>
      </c>
      <c r="K29" s="53">
        <v>123.3</v>
      </c>
      <c r="L29" s="52">
        <f t="shared" si="10"/>
        <v>90.94005281624469</v>
      </c>
      <c r="M29" s="53">
        <v>100</v>
      </c>
      <c r="N29" s="53">
        <v>7.4</v>
      </c>
      <c r="O29" s="52">
        <v>13.45</v>
      </c>
      <c r="P29" s="53">
        <v>6.13</v>
      </c>
      <c r="Q29" s="42">
        <f t="shared" si="8"/>
        <v>88.32589814248932</v>
      </c>
      <c r="R29" s="53">
        <v>123.4</v>
      </c>
      <c r="S29" s="52">
        <v>30.25</v>
      </c>
      <c r="T29" s="53">
        <v>-2.7</v>
      </c>
      <c r="U29" s="67">
        <f>AVERAGE(U28,U30)</f>
        <v>3.464</v>
      </c>
      <c r="V29" s="47">
        <v>-10</v>
      </c>
      <c r="W29" s="46">
        <f>AVERAGE(W28,W30)</f>
        <v>4.8035</v>
      </c>
      <c r="X29" s="140">
        <f t="shared" si="0"/>
        <v>-33.88200000000001</v>
      </c>
      <c r="Y29" s="138">
        <f t="shared" si="1"/>
        <v>-6.050000000000001</v>
      </c>
      <c r="Z29" s="140">
        <f>AVERAGE(Z28,Z30)</f>
        <v>4.33</v>
      </c>
      <c r="AA29" s="138">
        <f>AVERAGE(AA28,AA30)</f>
        <v>0</v>
      </c>
      <c r="AB29" s="140">
        <v>-10</v>
      </c>
      <c r="AC29" s="138">
        <f>AVERAGE(AC28,AC30)</f>
        <v>4.7765</v>
      </c>
      <c r="AD29" s="140">
        <f t="shared" si="3"/>
        <v>-38.191</v>
      </c>
      <c r="AE29" s="138">
        <f>AE30-0.53</f>
        <v>0.6219999999999999</v>
      </c>
      <c r="AF29" s="140">
        <f>AVERAGE(AF28,AF30)</f>
        <v>4.849</v>
      </c>
      <c r="AG29" s="138">
        <v>-10</v>
      </c>
      <c r="AH29" s="140">
        <v>-10</v>
      </c>
      <c r="AI29" s="142">
        <f>AVERAGE(AI28,AI30)</f>
        <v>4.9935</v>
      </c>
      <c r="AJ29" s="46"/>
      <c r="AK29" s="149">
        <f t="shared" si="9"/>
        <v>2.9107171180666076</v>
      </c>
      <c r="AL29" s="151">
        <f t="shared" si="14"/>
        <v>1E-13</v>
      </c>
      <c r="AM29" s="135">
        <f t="shared" si="15"/>
        <v>63.60628048372609</v>
      </c>
      <c r="AN29" s="151">
        <f t="shared" si="16"/>
        <v>1.3121998990191507E-37</v>
      </c>
      <c r="AO29" s="135">
        <f t="shared" si="17"/>
        <v>8.912509381337432E-10</v>
      </c>
      <c r="AP29" s="151">
        <f t="shared" si="18"/>
        <v>21.37962089502235</v>
      </c>
      <c r="AQ29" s="135">
        <f t="shared" si="19"/>
        <v>0.001</v>
      </c>
      <c r="AR29" s="151">
        <f t="shared" si="20"/>
        <v>1E-13</v>
      </c>
      <c r="AS29" s="135">
        <f t="shared" si="21"/>
        <v>59.77230446887003</v>
      </c>
      <c r="AT29" s="151">
        <f t="shared" si="22"/>
        <v>6.441692655151669E-42</v>
      </c>
      <c r="AU29" s="135">
        <f t="shared" si="23"/>
        <v>0.004187935651179183</v>
      </c>
      <c r="AV29" s="151">
        <f t="shared" si="24"/>
        <v>70.63175542629627</v>
      </c>
      <c r="AW29" s="135">
        <f t="shared" si="25"/>
        <v>1E-13</v>
      </c>
      <c r="AX29" s="151">
        <f t="shared" si="26"/>
        <v>1E-13</v>
      </c>
      <c r="AY29" s="136">
        <f t="shared" si="27"/>
        <v>98.5144642804036</v>
      </c>
      <c r="AZ29" s="41"/>
      <c r="BA29" s="160">
        <f t="shared" si="11"/>
        <v>90.94005281624469</v>
      </c>
      <c r="BB29" s="161">
        <f t="shared" si="12"/>
        <v>116.29249154638458</v>
      </c>
      <c r="BD29" s="180" t="s">
        <v>153</v>
      </c>
      <c r="BE29" s="181"/>
    </row>
    <row r="30" spans="2:57" ht="12">
      <c r="B30" s="49">
        <v>470</v>
      </c>
      <c r="C30" s="50">
        <v>0.19536</v>
      </c>
      <c r="D30" s="50">
        <v>0.09098</v>
      </c>
      <c r="E30" s="51">
        <v>1.28764</v>
      </c>
      <c r="F30" s="50">
        <v>0.195618</v>
      </c>
      <c r="G30" s="51">
        <v>0.18519</v>
      </c>
      <c r="H30" s="50">
        <v>1.31756</v>
      </c>
      <c r="I30" s="135">
        <f t="shared" si="7"/>
        <v>42.88184157429907</v>
      </c>
      <c r="J30" s="52">
        <v>92</v>
      </c>
      <c r="K30" s="53">
        <v>123.8</v>
      </c>
      <c r="L30" s="52">
        <f t="shared" si="10"/>
        <v>91.32148317861325</v>
      </c>
      <c r="M30" s="53">
        <v>100</v>
      </c>
      <c r="N30" s="53">
        <v>7.54</v>
      </c>
      <c r="O30" s="52">
        <v>13.71</v>
      </c>
      <c r="P30" s="53">
        <v>5.46</v>
      </c>
      <c r="Q30" s="42">
        <f t="shared" si="8"/>
        <v>89.43661835969299</v>
      </c>
      <c r="R30" s="53">
        <v>121.3</v>
      </c>
      <c r="S30" s="52">
        <v>27.9</v>
      </c>
      <c r="T30" s="53">
        <v>-2.6</v>
      </c>
      <c r="U30" s="67">
        <v>3.582</v>
      </c>
      <c r="V30" s="47">
        <v>-10</v>
      </c>
      <c r="W30" s="46">
        <v>4.743</v>
      </c>
      <c r="X30" s="140">
        <f t="shared" si="0"/>
        <v>-32.53200000000001</v>
      </c>
      <c r="Y30" s="138">
        <f t="shared" si="1"/>
        <v>-4.950000000000001</v>
      </c>
      <c r="Z30" s="140">
        <v>4.04</v>
      </c>
      <c r="AA30" s="138">
        <v>0</v>
      </c>
      <c r="AB30" s="140">
        <v>1</v>
      </c>
      <c r="AC30" s="138">
        <v>4.672</v>
      </c>
      <c r="AD30" s="140">
        <f t="shared" si="3"/>
        <v>-36.891000000000005</v>
      </c>
      <c r="AE30" s="138">
        <v>1.152</v>
      </c>
      <c r="AF30" s="140">
        <v>4.743</v>
      </c>
      <c r="AG30" s="138">
        <v>-10</v>
      </c>
      <c r="AH30" s="140">
        <v>0</v>
      </c>
      <c r="AI30" s="142">
        <v>4.987</v>
      </c>
      <c r="AJ30" s="46"/>
      <c r="AK30" s="149">
        <f t="shared" si="9"/>
        <v>3.8194427084004694</v>
      </c>
      <c r="AL30" s="151">
        <f t="shared" si="14"/>
        <v>1E-13</v>
      </c>
      <c r="AM30" s="135">
        <f t="shared" si="15"/>
        <v>55.33501092157374</v>
      </c>
      <c r="AN30" s="151">
        <f t="shared" si="16"/>
        <v>2.9376496519614587E-36</v>
      </c>
      <c r="AO30" s="135">
        <f t="shared" si="17"/>
        <v>1.1220184543019587E-08</v>
      </c>
      <c r="AP30" s="151">
        <f t="shared" si="18"/>
        <v>10.964781961431855</v>
      </c>
      <c r="AQ30" s="135">
        <f t="shared" si="19"/>
        <v>0.001</v>
      </c>
      <c r="AR30" s="151">
        <f t="shared" si="20"/>
        <v>0.01</v>
      </c>
      <c r="AS30" s="135">
        <f t="shared" si="21"/>
        <v>46.989410860521595</v>
      </c>
      <c r="AT30" s="151">
        <f t="shared" si="22"/>
        <v>1.2852866599435972E-40</v>
      </c>
      <c r="AU30" s="135">
        <f t="shared" si="23"/>
        <v>0.014190575216890924</v>
      </c>
      <c r="AV30" s="151">
        <f t="shared" si="24"/>
        <v>55.33501092157374</v>
      </c>
      <c r="AW30" s="135">
        <f t="shared" si="25"/>
        <v>1E-13</v>
      </c>
      <c r="AX30" s="151">
        <f t="shared" si="26"/>
        <v>0.001</v>
      </c>
      <c r="AY30" s="136">
        <f t="shared" si="27"/>
        <v>97.05099672454912</v>
      </c>
      <c r="AZ30" s="41"/>
      <c r="BA30" s="160">
        <f t="shared" si="11"/>
        <v>91.32148317861325</v>
      </c>
      <c r="BB30" s="161">
        <f t="shared" si="12"/>
        <v>114.82020787900666</v>
      </c>
      <c r="BD30" s="31" t="s">
        <v>119</v>
      </c>
      <c r="BE30" s="32">
        <v>6500</v>
      </c>
    </row>
    <row r="31" spans="2:57" ht="12">
      <c r="B31" s="49">
        <v>475</v>
      </c>
      <c r="C31" s="50">
        <v>0.1421</v>
      </c>
      <c r="D31" s="50">
        <v>0.1126</v>
      </c>
      <c r="E31" s="51">
        <v>1.0419</v>
      </c>
      <c r="F31" s="50">
        <v>0.132349</v>
      </c>
      <c r="G31" s="51">
        <v>0.21994</v>
      </c>
      <c r="H31" s="50">
        <v>1.0302</v>
      </c>
      <c r="I31" s="135">
        <f t="shared" si="7"/>
        <v>45.52986424690139</v>
      </c>
      <c r="J31" s="52">
        <v>93.75</v>
      </c>
      <c r="K31" s="53">
        <v>124.09</v>
      </c>
      <c r="L31" s="52">
        <f t="shared" si="10"/>
        <v>93.19406181356365</v>
      </c>
      <c r="M31" s="53">
        <v>100</v>
      </c>
      <c r="N31" s="53">
        <v>7.62</v>
      </c>
      <c r="O31" s="52">
        <v>13.88</v>
      </c>
      <c r="P31" s="53">
        <v>4.79</v>
      </c>
      <c r="Q31" s="42">
        <f t="shared" si="8"/>
        <v>90.48764039212094</v>
      </c>
      <c r="R31" s="53">
        <v>121.3</v>
      </c>
      <c r="S31" s="52">
        <v>26.1</v>
      </c>
      <c r="T31" s="53">
        <v>-2.6</v>
      </c>
      <c r="U31" s="67">
        <f>AVERAGE(U30,U32)</f>
        <v>3.7</v>
      </c>
      <c r="V31" s="47">
        <v>-10</v>
      </c>
      <c r="W31" s="46">
        <f aca="true" t="shared" si="32" ref="W31:AI31">AVERAGE(W30,W32)</f>
        <v>4.6625</v>
      </c>
      <c r="X31" s="140">
        <f t="shared" si="0"/>
        <v>-31.182000000000013</v>
      </c>
      <c r="Y31" s="138">
        <f t="shared" si="1"/>
        <v>-3.8500000000000005</v>
      </c>
      <c r="Z31" s="140">
        <f t="shared" si="32"/>
        <v>3.4690000000000003</v>
      </c>
      <c r="AA31" s="138">
        <f t="shared" si="32"/>
        <v>0</v>
      </c>
      <c r="AB31" s="140">
        <f t="shared" si="32"/>
        <v>2</v>
      </c>
      <c r="AC31" s="138">
        <f>AVERAGE(AC30,AC32)</f>
        <v>4.4635</v>
      </c>
      <c r="AD31" s="140">
        <f t="shared" si="3"/>
        <v>-35.59100000000001</v>
      </c>
      <c r="AE31" s="138">
        <f t="shared" si="32"/>
        <v>1.6795</v>
      </c>
      <c r="AF31" s="140">
        <f t="shared" si="32"/>
        <v>4.543</v>
      </c>
      <c r="AG31" s="138">
        <v>-10</v>
      </c>
      <c r="AH31" s="140">
        <f>AVERAGE(AH30,AH32)</f>
        <v>1.5</v>
      </c>
      <c r="AI31" s="142">
        <f t="shared" si="32"/>
        <v>4.958</v>
      </c>
      <c r="AJ31" s="46"/>
      <c r="AK31" s="149">
        <f t="shared" si="9"/>
        <v>5.011872336272733</v>
      </c>
      <c r="AL31" s="151">
        <f t="shared" si="14"/>
        <v>1E-13</v>
      </c>
      <c r="AM31" s="135">
        <f t="shared" si="15"/>
        <v>45.97269885308721</v>
      </c>
      <c r="AN31" s="151">
        <f t="shared" si="16"/>
        <v>6.576578373553959E-35</v>
      </c>
      <c r="AO31" s="135">
        <f t="shared" si="17"/>
        <v>1.412537544622751E-07</v>
      </c>
      <c r="AP31" s="151">
        <f t="shared" si="18"/>
        <v>2.9444216337987665</v>
      </c>
      <c r="AQ31" s="135">
        <f t="shared" si="19"/>
        <v>0.001</v>
      </c>
      <c r="AR31" s="151">
        <f t="shared" si="20"/>
        <v>0.1</v>
      </c>
      <c r="AS31" s="135">
        <f t="shared" si="21"/>
        <v>29.07367959444231</v>
      </c>
      <c r="AT31" s="151">
        <f t="shared" si="22"/>
        <v>2.5644840365176488E-39</v>
      </c>
      <c r="AU31" s="135">
        <f t="shared" si="23"/>
        <v>0.04780793661491188</v>
      </c>
      <c r="AV31" s="151">
        <f t="shared" si="24"/>
        <v>34.91403154785866</v>
      </c>
      <c r="AW31" s="135">
        <f t="shared" si="25"/>
        <v>1E-13</v>
      </c>
      <c r="AX31" s="151">
        <f t="shared" si="26"/>
        <v>0.031622776601683805</v>
      </c>
      <c r="AY31" s="136">
        <f t="shared" si="27"/>
        <v>90.78205301781865</v>
      </c>
      <c r="AZ31" s="41"/>
      <c r="BA31" s="160">
        <f t="shared" si="11"/>
        <v>93.19406181356365</v>
      </c>
      <c r="BB31" s="161">
        <f t="shared" si="12"/>
        <v>115.35374699192609</v>
      </c>
      <c r="BD31" s="31" t="s">
        <v>64</v>
      </c>
      <c r="BE31" s="32">
        <f>1/BE30</f>
        <v>0.00015384615384615385</v>
      </c>
    </row>
    <row r="32" spans="2:57" ht="12">
      <c r="B32" s="49">
        <v>480</v>
      </c>
      <c r="C32" s="50">
        <v>0.09564</v>
      </c>
      <c r="D32" s="50">
        <v>0.13902</v>
      </c>
      <c r="E32" s="51">
        <v>0.8129501</v>
      </c>
      <c r="F32" s="50">
        <v>0.080507</v>
      </c>
      <c r="G32" s="51">
        <v>0.253589</v>
      </c>
      <c r="H32" s="50">
        <v>0.772125</v>
      </c>
      <c r="I32" s="135">
        <f t="shared" si="7"/>
        <v>48.25464964896742</v>
      </c>
      <c r="J32" s="52">
        <v>95.2</v>
      </c>
      <c r="K32" s="53">
        <v>123.9</v>
      </c>
      <c r="L32" s="52">
        <f t="shared" si="10"/>
        <v>95.06664044851406</v>
      </c>
      <c r="M32" s="53">
        <v>100</v>
      </c>
      <c r="N32" s="53">
        <v>7.65</v>
      </c>
      <c r="O32" s="52">
        <v>13.95</v>
      </c>
      <c r="P32" s="53">
        <v>5.66</v>
      </c>
      <c r="Q32" s="42">
        <f t="shared" si="8"/>
        <v>91.47943071081232</v>
      </c>
      <c r="R32" s="53">
        <v>121.3</v>
      </c>
      <c r="S32" s="52">
        <v>24.3</v>
      </c>
      <c r="T32" s="53">
        <v>-2.6</v>
      </c>
      <c r="U32" s="67">
        <v>3.818</v>
      </c>
      <c r="V32" s="47">
        <v>-10</v>
      </c>
      <c r="W32" s="46">
        <v>4.582</v>
      </c>
      <c r="X32" s="140">
        <f t="shared" si="0"/>
        <v>-29.83200000000001</v>
      </c>
      <c r="Y32" s="138">
        <f t="shared" si="1"/>
        <v>-2.7500000000000004</v>
      </c>
      <c r="Z32" s="140">
        <v>2.898</v>
      </c>
      <c r="AA32" s="138">
        <v>0</v>
      </c>
      <c r="AB32" s="140">
        <v>3</v>
      </c>
      <c r="AC32" s="138">
        <v>4.255</v>
      </c>
      <c r="AD32" s="140">
        <f t="shared" si="3"/>
        <v>-34.29100000000001</v>
      </c>
      <c r="AE32" s="138">
        <v>2.207</v>
      </c>
      <c r="AF32" s="140">
        <v>4.343</v>
      </c>
      <c r="AG32" s="138">
        <v>-10</v>
      </c>
      <c r="AH32" s="140">
        <v>3</v>
      </c>
      <c r="AI32" s="142">
        <v>4.929</v>
      </c>
      <c r="AJ32" s="46"/>
      <c r="AK32" s="149">
        <f t="shared" si="9"/>
        <v>6.576578373554213</v>
      </c>
      <c r="AL32" s="151">
        <f t="shared" si="14"/>
        <v>1E-13</v>
      </c>
      <c r="AM32" s="135">
        <f t="shared" si="15"/>
        <v>38.194427084004666</v>
      </c>
      <c r="AN32" s="151">
        <f t="shared" si="16"/>
        <v>1.4723125024326654E-33</v>
      </c>
      <c r="AO32" s="135">
        <f t="shared" si="17"/>
        <v>1.7782794100389204E-06</v>
      </c>
      <c r="AP32" s="151">
        <f t="shared" si="18"/>
        <v>0.7906786279998259</v>
      </c>
      <c r="AQ32" s="135">
        <f t="shared" si="19"/>
        <v>0.001</v>
      </c>
      <c r="AR32" s="151">
        <f t="shared" si="20"/>
        <v>1</v>
      </c>
      <c r="AS32" s="135">
        <f t="shared" si="21"/>
        <v>17.988709151287882</v>
      </c>
      <c r="AT32" s="151">
        <f t="shared" si="22"/>
        <v>5.116818355402877E-38</v>
      </c>
      <c r="AU32" s="135">
        <f t="shared" si="23"/>
        <v>0.16106456351782703</v>
      </c>
      <c r="AV32" s="151">
        <f t="shared" si="24"/>
        <v>22.029264630534595</v>
      </c>
      <c r="AW32" s="135">
        <f t="shared" si="25"/>
        <v>1E-13</v>
      </c>
      <c r="AX32" s="151">
        <f t="shared" si="26"/>
        <v>1</v>
      </c>
      <c r="AY32" s="136">
        <f t="shared" si="27"/>
        <v>84.91804750363154</v>
      </c>
      <c r="AZ32" s="41"/>
      <c r="BA32" s="160">
        <f t="shared" si="11"/>
        <v>95.06664044851406</v>
      </c>
      <c r="BB32" s="161">
        <f t="shared" si="12"/>
        <v>115.88728610484551</v>
      </c>
      <c r="BD32" s="31" t="s">
        <v>65</v>
      </c>
      <c r="BE32" s="32">
        <f>IF(BE30&lt;=7000,((-4607000000*BE31+2967800)*BE31+99.11)*BE31+0.244063,((-2006400000*BE31+1901800)*BE31+247.48)*BE31+0.23704)</f>
        <v>0.3127788761948111</v>
      </c>
    </row>
    <row r="33" spans="2:57" ht="12">
      <c r="B33" s="49">
        <v>485</v>
      </c>
      <c r="C33" s="50">
        <v>0.05795001</v>
      </c>
      <c r="D33" s="50">
        <v>0.1693</v>
      </c>
      <c r="E33" s="51">
        <v>0.6162</v>
      </c>
      <c r="F33" s="50">
        <v>0.041072</v>
      </c>
      <c r="G33" s="51">
        <v>0.297665</v>
      </c>
      <c r="H33" s="50">
        <v>0.57006</v>
      </c>
      <c r="I33" s="135">
        <f t="shared" si="7"/>
        <v>51.05384494295976</v>
      </c>
      <c r="J33" s="52">
        <v>96.23</v>
      </c>
      <c r="K33" s="53">
        <v>122.92</v>
      </c>
      <c r="L33" s="52">
        <f t="shared" si="10"/>
        <v>93.49801521180065</v>
      </c>
      <c r="M33" s="53">
        <v>100</v>
      </c>
      <c r="N33" s="53">
        <v>7.62</v>
      </c>
      <c r="O33" s="52">
        <v>13.93</v>
      </c>
      <c r="P33" s="53">
        <v>14.29</v>
      </c>
      <c r="Q33" s="42">
        <f t="shared" si="8"/>
        <v>92.41256669807937</v>
      </c>
      <c r="R33" s="53">
        <v>117.4</v>
      </c>
      <c r="S33" s="52">
        <v>22.2</v>
      </c>
      <c r="T33" s="53">
        <v>-2.2</v>
      </c>
      <c r="U33" s="67">
        <f>AVERAGE(U32,U34)</f>
        <v>3.9295</v>
      </c>
      <c r="V33" s="47">
        <v>-10</v>
      </c>
      <c r="W33" s="46">
        <f aca="true" t="shared" si="33" ref="W33:AI33">AVERAGE(W32,W34)</f>
        <v>4.4665</v>
      </c>
      <c r="X33" s="140">
        <f t="shared" si="0"/>
        <v>-28.48200000000001</v>
      </c>
      <c r="Y33" s="138">
        <f t="shared" si="1"/>
        <v>-1.6500000000000004</v>
      </c>
      <c r="Z33" s="140">
        <f t="shared" si="33"/>
        <v>2.232</v>
      </c>
      <c r="AA33" s="138">
        <f t="shared" si="33"/>
        <v>0</v>
      </c>
      <c r="AB33" s="140">
        <f t="shared" si="33"/>
        <v>3.3495</v>
      </c>
      <c r="AC33" s="138">
        <f t="shared" si="33"/>
        <v>4.0165</v>
      </c>
      <c r="AD33" s="140">
        <f t="shared" si="3"/>
        <v>-32.991000000000014</v>
      </c>
      <c r="AE33" s="138">
        <f t="shared" si="33"/>
        <v>2.6814999999999998</v>
      </c>
      <c r="AF33" s="140">
        <f t="shared" si="33"/>
        <v>4.043</v>
      </c>
      <c r="AG33" s="138">
        <v>-10</v>
      </c>
      <c r="AH33" s="140">
        <f t="shared" si="33"/>
        <v>3.3495</v>
      </c>
      <c r="AI33" s="142">
        <f t="shared" si="33"/>
        <v>4.871</v>
      </c>
      <c r="AJ33" s="46"/>
      <c r="AK33" s="149">
        <f t="shared" si="9"/>
        <v>8.501586931874376</v>
      </c>
      <c r="AL33" s="151">
        <f t="shared" si="14"/>
        <v>1E-13</v>
      </c>
      <c r="AM33" s="135">
        <f t="shared" si="15"/>
        <v>29.27520871369445</v>
      </c>
      <c r="AN33" s="151">
        <f t="shared" si="16"/>
        <v>3.2960971217744626E-32</v>
      </c>
      <c r="AO33" s="135">
        <f t="shared" si="17"/>
        <v>2.2387211385683372E-05</v>
      </c>
      <c r="AP33" s="151">
        <f t="shared" si="18"/>
        <v>0.17060823890031243</v>
      </c>
      <c r="AQ33" s="135">
        <f t="shared" si="19"/>
        <v>0.001</v>
      </c>
      <c r="AR33" s="151">
        <f t="shared" si="20"/>
        <v>2.236145198722523</v>
      </c>
      <c r="AS33" s="135">
        <f t="shared" si="21"/>
        <v>10.387236024226217</v>
      </c>
      <c r="AT33" s="151">
        <f t="shared" si="22"/>
        <v>1.020939483707642E-36</v>
      </c>
      <c r="AU33" s="135">
        <f t="shared" si="23"/>
        <v>0.48028608023969116</v>
      </c>
      <c r="AV33" s="151">
        <f t="shared" si="24"/>
        <v>11.04078619902074</v>
      </c>
      <c r="AW33" s="135">
        <f t="shared" si="25"/>
        <v>1E-13</v>
      </c>
      <c r="AX33" s="151">
        <f t="shared" si="26"/>
        <v>2.236145198722523</v>
      </c>
      <c r="AY33" s="136">
        <f t="shared" si="27"/>
        <v>74.30191378967031</v>
      </c>
      <c r="AZ33" s="41"/>
      <c r="BA33" s="160">
        <f t="shared" si="11"/>
        <v>93.49801521180065</v>
      </c>
      <c r="BB33" s="161">
        <f t="shared" si="12"/>
        <v>112.33435392182723</v>
      </c>
      <c r="BD33" s="31" t="s">
        <v>66</v>
      </c>
      <c r="BE33" s="32">
        <f>(-3*BE32+2.87)*BE32-0.275</f>
        <v>0.32918349849804096</v>
      </c>
    </row>
    <row r="34" spans="2:57" ht="12">
      <c r="B34" s="49">
        <v>490</v>
      </c>
      <c r="C34" s="50">
        <v>0.03201</v>
      </c>
      <c r="D34" s="50">
        <v>0.20802</v>
      </c>
      <c r="E34" s="51">
        <v>0.46518</v>
      </c>
      <c r="F34" s="50">
        <v>0.016172</v>
      </c>
      <c r="G34" s="51">
        <v>0.339133</v>
      </c>
      <c r="H34" s="50">
        <v>0.415254</v>
      </c>
      <c r="I34" s="135">
        <f t="shared" si="7"/>
        <v>53.92494093416303</v>
      </c>
      <c r="J34" s="52">
        <v>96.5</v>
      </c>
      <c r="K34" s="53">
        <v>120.7</v>
      </c>
      <c r="L34" s="52">
        <f t="shared" si="10"/>
        <v>91.9293899750872</v>
      </c>
      <c r="M34" s="53">
        <v>100</v>
      </c>
      <c r="N34" s="53">
        <v>7.62</v>
      </c>
      <c r="O34" s="52">
        <v>13.82</v>
      </c>
      <c r="P34" s="53">
        <v>14.96</v>
      </c>
      <c r="Q34" s="42">
        <f t="shared" si="8"/>
        <v>93.28772678949076</v>
      </c>
      <c r="R34" s="53">
        <v>113.5</v>
      </c>
      <c r="S34" s="52">
        <v>20.1</v>
      </c>
      <c r="T34" s="53">
        <v>-1.8</v>
      </c>
      <c r="U34" s="67">
        <v>4.041</v>
      </c>
      <c r="V34" s="47">
        <v>-10</v>
      </c>
      <c r="W34" s="46">
        <v>4.351</v>
      </c>
      <c r="X34" s="140">
        <f t="shared" si="0"/>
        <v>-27.13200000000001</v>
      </c>
      <c r="Y34" s="138">
        <f>Y35-1.1</f>
        <v>-0.5500000000000003</v>
      </c>
      <c r="Z34" s="140">
        <v>1.566</v>
      </c>
      <c r="AA34" s="138">
        <v>0</v>
      </c>
      <c r="AB34" s="140">
        <v>3.699</v>
      </c>
      <c r="AC34" s="138">
        <v>3.778</v>
      </c>
      <c r="AD34" s="140">
        <f t="shared" si="3"/>
        <v>-31.691000000000013</v>
      </c>
      <c r="AE34" s="138">
        <v>3.156</v>
      </c>
      <c r="AF34" s="140">
        <v>3.743</v>
      </c>
      <c r="AG34" s="138">
        <v>-10</v>
      </c>
      <c r="AH34" s="140">
        <v>3.699</v>
      </c>
      <c r="AI34" s="142">
        <v>4.813</v>
      </c>
      <c r="AJ34" s="46"/>
      <c r="AK34" s="149">
        <f t="shared" si="9"/>
        <v>10.990058394325224</v>
      </c>
      <c r="AL34" s="151">
        <f t="shared" si="14"/>
        <v>1E-13</v>
      </c>
      <c r="AM34" s="135">
        <f t="shared" si="15"/>
        <v>22.4388192378277</v>
      </c>
      <c r="AN34" s="151">
        <f t="shared" si="16"/>
        <v>7.379042301290815E-31</v>
      </c>
      <c r="AO34" s="135">
        <f t="shared" si="17"/>
        <v>0.0002818382931264452</v>
      </c>
      <c r="AP34" s="151">
        <f t="shared" si="18"/>
        <v>0.03681289736425316</v>
      </c>
      <c r="AQ34" s="135">
        <f t="shared" si="19"/>
        <v>0.001</v>
      </c>
      <c r="AR34" s="151">
        <f t="shared" si="20"/>
        <v>5.000345349769791</v>
      </c>
      <c r="AS34" s="135">
        <f t="shared" si="21"/>
        <v>5.997910762555104</v>
      </c>
      <c r="AT34" s="151">
        <f t="shared" si="22"/>
        <v>2.037042077705646E-35</v>
      </c>
      <c r="AU34" s="135">
        <f t="shared" si="23"/>
        <v>1.4321878992735446</v>
      </c>
      <c r="AV34" s="151">
        <f t="shared" si="24"/>
        <v>5.533501092157367</v>
      </c>
      <c r="AW34" s="135">
        <f t="shared" si="25"/>
        <v>1E-13</v>
      </c>
      <c r="AX34" s="151">
        <f t="shared" si="26"/>
        <v>5.000345349769791</v>
      </c>
      <c r="AY34" s="136">
        <f t="shared" si="27"/>
        <v>65.01296903430911</v>
      </c>
      <c r="AZ34" s="41"/>
      <c r="BA34" s="160">
        <f t="shared" si="11"/>
        <v>91.9293899750872</v>
      </c>
      <c r="BB34" s="161">
        <f t="shared" si="12"/>
        <v>108.78142173880896</v>
      </c>
      <c r="BD34" s="31" t="s">
        <v>67</v>
      </c>
      <c r="BE34" s="32">
        <f>0.0241+0.2562*BE32-0.734*BE33</f>
        <v>-0.13738673981645144</v>
      </c>
    </row>
    <row r="35" spans="2:57" ht="12">
      <c r="B35" s="58">
        <v>495</v>
      </c>
      <c r="C35" s="59">
        <v>0.0147</v>
      </c>
      <c r="D35" s="59">
        <v>0.2586</v>
      </c>
      <c r="E35" s="60">
        <v>0.3533</v>
      </c>
      <c r="F35" s="59">
        <v>0.005132</v>
      </c>
      <c r="G35" s="60">
        <v>0.395379</v>
      </c>
      <c r="H35" s="59">
        <v>0.302356</v>
      </c>
      <c r="I35" s="153">
        <f t="shared" si="7"/>
        <v>56.8652846939252</v>
      </c>
      <c r="J35" s="62">
        <v>95.71</v>
      </c>
      <c r="K35" s="63">
        <v>116.9</v>
      </c>
      <c r="L35" s="62">
        <f t="shared" si="10"/>
        <v>93.81302921305847</v>
      </c>
      <c r="M35" s="63">
        <v>100</v>
      </c>
      <c r="N35" s="63">
        <v>7.45</v>
      </c>
      <c r="O35" s="62">
        <v>13.64</v>
      </c>
      <c r="P35" s="63">
        <v>8.97</v>
      </c>
      <c r="Q35" s="61">
        <f t="shared" si="8"/>
        <v>94.1056810279425</v>
      </c>
      <c r="R35" s="63">
        <v>113.3</v>
      </c>
      <c r="S35" s="62">
        <v>18.15</v>
      </c>
      <c r="T35" s="63">
        <v>-1.65</v>
      </c>
      <c r="U35" s="80">
        <f>AVERAGE(U34,U36)</f>
        <v>4.1585</v>
      </c>
      <c r="V35" s="65">
        <v>-10</v>
      </c>
      <c r="W35" s="66">
        <f aca="true" t="shared" si="34" ref="W35:AI35">AVERAGE(W34,W36)</f>
        <v>4.172</v>
      </c>
      <c r="X35" s="143">
        <f t="shared" si="0"/>
        <v>-25.782000000000007</v>
      </c>
      <c r="Y35" s="144">
        <f>Y36-1.1</f>
        <v>0.5499999999999998</v>
      </c>
      <c r="Z35" s="143">
        <f t="shared" si="34"/>
        <v>0.8655</v>
      </c>
      <c r="AA35" s="144">
        <f t="shared" si="34"/>
        <v>0</v>
      </c>
      <c r="AB35" s="143">
        <f t="shared" si="34"/>
        <v>4.073</v>
      </c>
      <c r="AC35" s="144">
        <f t="shared" si="34"/>
        <v>3.3405</v>
      </c>
      <c r="AD35" s="143">
        <f t="shared" si="3"/>
        <v>-30.391000000000012</v>
      </c>
      <c r="AE35" s="144">
        <f t="shared" si="34"/>
        <v>3.48</v>
      </c>
      <c r="AF35" s="143">
        <f t="shared" si="34"/>
        <v>3.3665000000000003</v>
      </c>
      <c r="AG35" s="144">
        <v>-10</v>
      </c>
      <c r="AH35" s="143">
        <f t="shared" si="34"/>
        <v>4.073</v>
      </c>
      <c r="AI35" s="145">
        <f t="shared" si="34"/>
        <v>4.7075</v>
      </c>
      <c r="AJ35" s="46"/>
      <c r="AK35" s="152">
        <f t="shared" si="9"/>
        <v>14.404560102463794</v>
      </c>
      <c r="AL35" s="153">
        <f t="shared" si="14"/>
        <v>1E-13</v>
      </c>
      <c r="AM35" s="154">
        <f t="shared" si="15"/>
        <v>14.85935642287008</v>
      </c>
      <c r="AN35" s="153">
        <f t="shared" si="16"/>
        <v>1.6519617982289735E-29</v>
      </c>
      <c r="AO35" s="154">
        <f t="shared" si="17"/>
        <v>0.0035481338923357532</v>
      </c>
      <c r="AP35" s="153">
        <f t="shared" si="18"/>
        <v>0.007336687144183597</v>
      </c>
      <c r="AQ35" s="154">
        <f t="shared" si="19"/>
        <v>0.001</v>
      </c>
      <c r="AR35" s="153">
        <f t="shared" si="20"/>
        <v>11.830415557251676</v>
      </c>
      <c r="AS35" s="154">
        <f t="shared" si="21"/>
        <v>2.1902818280684557</v>
      </c>
      <c r="AT35" s="153">
        <f t="shared" si="22"/>
        <v>4.064433291651991E-34</v>
      </c>
      <c r="AU35" s="154">
        <f t="shared" si="23"/>
        <v>3.0199517204020174</v>
      </c>
      <c r="AV35" s="153">
        <f t="shared" si="24"/>
        <v>2.325412485873383</v>
      </c>
      <c r="AW35" s="154">
        <f t="shared" si="25"/>
        <v>1E-13</v>
      </c>
      <c r="AX35" s="153">
        <f t="shared" si="26"/>
        <v>11.830415557251676</v>
      </c>
      <c r="AY35" s="155">
        <f t="shared" si="27"/>
        <v>50.99175975748699</v>
      </c>
      <c r="AZ35" s="41"/>
      <c r="BA35" s="162">
        <f t="shared" si="11"/>
        <v>93.81302921305847</v>
      </c>
      <c r="BB35" s="163">
        <f t="shared" si="12"/>
        <v>109.05614951393757</v>
      </c>
      <c r="BD35" s="31" t="s">
        <v>68</v>
      </c>
      <c r="BE35" s="32">
        <f>(-1.3515-1.7703*BE32+5.9114*BE33)/BE34</f>
        <v>-0.29641061828857146</v>
      </c>
    </row>
    <row r="36" spans="2:57" ht="12.75" thickBot="1">
      <c r="B36" s="49">
        <v>500</v>
      </c>
      <c r="C36" s="50">
        <v>0.0049</v>
      </c>
      <c r="D36" s="50">
        <v>0.323</v>
      </c>
      <c r="E36" s="51">
        <v>0.272</v>
      </c>
      <c r="F36" s="50">
        <v>0.003816</v>
      </c>
      <c r="G36" s="51">
        <v>0.460777</v>
      </c>
      <c r="H36" s="50">
        <v>0.218502</v>
      </c>
      <c r="I36" s="135">
        <f t="shared" si="7"/>
        <v>59.87209226972303</v>
      </c>
      <c r="J36" s="52">
        <v>94.2</v>
      </c>
      <c r="K36" s="53">
        <v>112.1</v>
      </c>
      <c r="L36" s="52">
        <f t="shared" si="10"/>
        <v>95.69666845102974</v>
      </c>
      <c r="M36" s="53">
        <v>100</v>
      </c>
      <c r="N36" s="53">
        <v>7.28</v>
      </c>
      <c r="O36" s="52">
        <v>13.43</v>
      </c>
      <c r="P36" s="53">
        <v>4.72</v>
      </c>
      <c r="Q36" s="42">
        <f t="shared" si="8"/>
        <v>94.86728204321638</v>
      </c>
      <c r="R36" s="53">
        <v>113.1</v>
      </c>
      <c r="S36" s="52">
        <v>16.2</v>
      </c>
      <c r="T36" s="53">
        <v>-1.5</v>
      </c>
      <c r="U36" s="67">
        <v>4.276</v>
      </c>
      <c r="V36" s="47">
        <v>-10</v>
      </c>
      <c r="W36" s="46">
        <v>3.993</v>
      </c>
      <c r="X36" s="140">
        <f t="shared" si="0"/>
        <v>-24.432000000000006</v>
      </c>
      <c r="Y36" s="138">
        <v>1.65</v>
      </c>
      <c r="Z36" s="140">
        <v>0.165</v>
      </c>
      <c r="AA36" s="138">
        <v>0</v>
      </c>
      <c r="AB36" s="140">
        <v>4.447</v>
      </c>
      <c r="AC36" s="138">
        <v>2.903</v>
      </c>
      <c r="AD36" s="140">
        <f t="shared" si="3"/>
        <v>-29.09100000000001</v>
      </c>
      <c r="AE36" s="138">
        <v>3.804</v>
      </c>
      <c r="AF36" s="140">
        <v>2.99</v>
      </c>
      <c r="AG36" s="138">
        <v>-10</v>
      </c>
      <c r="AH36" s="140">
        <v>4.447</v>
      </c>
      <c r="AI36" s="142">
        <v>4.602</v>
      </c>
      <c r="AJ36" s="46"/>
      <c r="AK36" s="149">
        <f t="shared" si="9"/>
        <v>18.879913490962945</v>
      </c>
      <c r="AL36" s="151">
        <f t="shared" si="14"/>
        <v>1E-13</v>
      </c>
      <c r="AM36" s="135">
        <f t="shared" si="15"/>
        <v>9.840111057611349</v>
      </c>
      <c r="AN36" s="151">
        <f t="shared" si="16"/>
        <v>3.6982817978026003E-28</v>
      </c>
      <c r="AO36" s="135">
        <f t="shared" si="17"/>
        <v>0.04466835921509632</v>
      </c>
      <c r="AP36" s="151">
        <f t="shared" si="18"/>
        <v>0.0014621771744567182</v>
      </c>
      <c r="AQ36" s="135">
        <f t="shared" si="19"/>
        <v>0.001</v>
      </c>
      <c r="AR36" s="151">
        <f t="shared" si="20"/>
        <v>27.98981319634367</v>
      </c>
      <c r="AS36" s="135">
        <f t="shared" si="21"/>
        <v>0.7998342550070292</v>
      </c>
      <c r="AT36" s="151">
        <f t="shared" si="22"/>
        <v>8.109610578538149E-33</v>
      </c>
      <c r="AU36" s="135">
        <f t="shared" si="23"/>
        <v>6.36795520907916</v>
      </c>
      <c r="AV36" s="151">
        <f t="shared" si="24"/>
        <v>0.9772372209558113</v>
      </c>
      <c r="AW36" s="135">
        <f t="shared" si="25"/>
        <v>1E-13</v>
      </c>
      <c r="AX36" s="151">
        <f t="shared" si="26"/>
        <v>27.98981319634367</v>
      </c>
      <c r="AY36" s="136">
        <f t="shared" si="27"/>
        <v>39.99447497610982</v>
      </c>
      <c r="AZ36" s="41"/>
      <c r="BA36" s="160">
        <f t="shared" si="11"/>
        <v>95.69666845102974</v>
      </c>
      <c r="BB36" s="161">
        <f t="shared" si="12"/>
        <v>109.33087728906617</v>
      </c>
      <c r="BD36" s="54" t="s">
        <v>69</v>
      </c>
      <c r="BE36" s="55">
        <f>(0.03-31.4424*BE32+30.0717*BE33)/BE34</f>
        <v>-0.6884862035606907</v>
      </c>
    </row>
    <row r="37" spans="2:54" ht="12.75" thickBot="1">
      <c r="B37" s="49">
        <v>505</v>
      </c>
      <c r="C37" s="50">
        <v>0.0024</v>
      </c>
      <c r="D37" s="50">
        <v>0.4073</v>
      </c>
      <c r="E37" s="51">
        <v>0.2123</v>
      </c>
      <c r="F37" s="50">
        <v>0.015444</v>
      </c>
      <c r="G37" s="51">
        <v>0.53136</v>
      </c>
      <c r="H37" s="50">
        <v>0.159249</v>
      </c>
      <c r="I37" s="135">
        <f t="shared" si="7"/>
        <v>62.94246139874311</v>
      </c>
      <c r="J37" s="52">
        <v>92.37</v>
      </c>
      <c r="K37" s="53">
        <v>106.98</v>
      </c>
      <c r="L37" s="52">
        <f t="shared" si="10"/>
        <v>96.14382556911619</v>
      </c>
      <c r="M37" s="53">
        <v>100</v>
      </c>
      <c r="N37" s="53">
        <v>7.15</v>
      </c>
      <c r="O37" s="52">
        <v>13.25</v>
      </c>
      <c r="P37" s="53">
        <v>2.33</v>
      </c>
      <c r="Q37" s="42">
        <f t="shared" si="8"/>
        <v>95.57345646545187</v>
      </c>
      <c r="R37" s="53">
        <v>111.95</v>
      </c>
      <c r="S37" s="52">
        <v>14.7</v>
      </c>
      <c r="T37" s="53">
        <v>-1.4</v>
      </c>
      <c r="U37" s="67">
        <f>AVERAGE(U36,U38)</f>
        <v>4.3945</v>
      </c>
      <c r="V37" s="47">
        <v>-10</v>
      </c>
      <c r="W37" s="46">
        <f aca="true" t="shared" si="35" ref="W37:AI37">AVERAGE(W36,W38)</f>
        <v>3.6975</v>
      </c>
      <c r="X37" s="140">
        <f t="shared" si="0"/>
        <v>-23.082000000000004</v>
      </c>
      <c r="Y37" s="138">
        <f t="shared" si="35"/>
        <v>2.7359999999999998</v>
      </c>
      <c r="Z37" s="140">
        <f>Z36-0.7</f>
        <v>-0.5349999999999999</v>
      </c>
      <c r="AA37" s="138">
        <f t="shared" si="35"/>
        <v>0</v>
      </c>
      <c r="AB37" s="140">
        <f t="shared" si="35"/>
        <v>4.640000000000001</v>
      </c>
      <c r="AC37" s="138">
        <f t="shared" si="35"/>
        <v>2.301</v>
      </c>
      <c r="AD37" s="140">
        <f t="shared" si="3"/>
        <v>-27.79100000000001</v>
      </c>
      <c r="AE37" s="138">
        <f t="shared" si="35"/>
        <v>4.038</v>
      </c>
      <c r="AF37" s="140">
        <f t="shared" si="35"/>
        <v>2.4210000000000003</v>
      </c>
      <c r="AG37" s="138">
        <v>-10</v>
      </c>
      <c r="AH37" s="140">
        <f t="shared" si="35"/>
        <v>4.640000000000001</v>
      </c>
      <c r="AI37" s="142">
        <f t="shared" si="35"/>
        <v>4.4285</v>
      </c>
      <c r="AJ37" s="46"/>
      <c r="AK37" s="149">
        <f t="shared" si="9"/>
        <v>24.802759376929586</v>
      </c>
      <c r="AL37" s="151">
        <f t="shared" si="14"/>
        <v>1E-13</v>
      </c>
      <c r="AM37" s="135">
        <f t="shared" si="15"/>
        <v>4.983104559705296</v>
      </c>
      <c r="AN37" s="151">
        <f t="shared" si="16"/>
        <v>8.279421637123213E-27</v>
      </c>
      <c r="AO37" s="135">
        <f t="shared" si="17"/>
        <v>0.5445026528424214</v>
      </c>
      <c r="AP37" s="151">
        <f t="shared" si="18"/>
        <v>0.00029174270140011664</v>
      </c>
      <c r="AQ37" s="135">
        <f t="shared" si="19"/>
        <v>0.001</v>
      </c>
      <c r="AR37" s="151">
        <f t="shared" si="20"/>
        <v>43.651583224016676</v>
      </c>
      <c r="AS37" s="135">
        <f t="shared" si="21"/>
        <v>0.1999861869632746</v>
      </c>
      <c r="AT37" s="151">
        <f t="shared" si="22"/>
        <v>1.618080037643017E-31</v>
      </c>
      <c r="AU37" s="135">
        <f t="shared" si="23"/>
        <v>10.914403364487574</v>
      </c>
      <c r="AV37" s="151">
        <f t="shared" si="24"/>
        <v>0.2636331385825384</v>
      </c>
      <c r="AW37" s="135">
        <f t="shared" si="25"/>
        <v>1E-13</v>
      </c>
      <c r="AX37" s="151">
        <f t="shared" si="26"/>
        <v>43.651583224016676</v>
      </c>
      <c r="AY37" s="136">
        <f t="shared" si="27"/>
        <v>26.822546076084965</v>
      </c>
      <c r="AZ37" s="41"/>
      <c r="BA37" s="160">
        <f t="shared" si="11"/>
        <v>96.14382556911619</v>
      </c>
      <c r="BB37" s="161">
        <f t="shared" si="12"/>
        <v>108.55664459614297</v>
      </c>
    </row>
    <row r="38" spans="2:57" ht="12.75" thickBot="1">
      <c r="B38" s="49">
        <v>510</v>
      </c>
      <c r="C38" s="50">
        <v>0.0093</v>
      </c>
      <c r="D38" s="50">
        <v>0.503</v>
      </c>
      <c r="E38" s="51">
        <v>0.1582</v>
      </c>
      <c r="F38" s="50">
        <v>0.037465</v>
      </c>
      <c r="G38" s="51">
        <v>0.606741</v>
      </c>
      <c r="H38" s="50">
        <v>0.112044</v>
      </c>
      <c r="I38" s="135">
        <f t="shared" si="7"/>
        <v>66.0733841487137</v>
      </c>
      <c r="J38" s="52">
        <v>90.7</v>
      </c>
      <c r="K38" s="53">
        <v>102.3</v>
      </c>
      <c r="L38" s="52">
        <f t="shared" si="10"/>
        <v>96.59098268720263</v>
      </c>
      <c r="M38" s="53">
        <v>100</v>
      </c>
      <c r="N38" s="53">
        <v>7.05</v>
      </c>
      <c r="O38" s="52">
        <v>13.08</v>
      </c>
      <c r="P38" s="53">
        <v>1.47</v>
      </c>
      <c r="Q38" s="42">
        <f t="shared" si="8"/>
        <v>96.22519677661553</v>
      </c>
      <c r="R38" s="53">
        <v>110.8</v>
      </c>
      <c r="S38" s="52">
        <v>13.2</v>
      </c>
      <c r="T38" s="53">
        <v>-1.3</v>
      </c>
      <c r="U38" s="67">
        <v>4.513</v>
      </c>
      <c r="V38" s="47">
        <v>-10</v>
      </c>
      <c r="W38" s="46">
        <v>3.402</v>
      </c>
      <c r="X38" s="140">
        <f t="shared" si="0"/>
        <v>-21.732000000000003</v>
      </c>
      <c r="Y38" s="138">
        <v>3.822</v>
      </c>
      <c r="Z38" s="140">
        <f>Z37-0.7</f>
        <v>-1.2349999999999999</v>
      </c>
      <c r="AA38" s="138">
        <v>0</v>
      </c>
      <c r="AB38" s="140">
        <v>4.833</v>
      </c>
      <c r="AC38" s="138">
        <v>1.699</v>
      </c>
      <c r="AD38" s="140">
        <f t="shared" si="3"/>
        <v>-26.49100000000001</v>
      </c>
      <c r="AE38" s="138">
        <v>4.272</v>
      </c>
      <c r="AF38" s="140">
        <v>1.852</v>
      </c>
      <c r="AG38" s="138">
        <v>-10</v>
      </c>
      <c r="AH38" s="140">
        <v>4.833</v>
      </c>
      <c r="AI38" s="142">
        <v>4.255</v>
      </c>
      <c r="AJ38" s="46"/>
      <c r="AK38" s="149">
        <f t="shared" si="9"/>
        <v>32.58367010020088</v>
      </c>
      <c r="AL38" s="151">
        <f t="shared" si="14"/>
        <v>1E-13</v>
      </c>
      <c r="AM38" s="135">
        <f t="shared" si="15"/>
        <v>2.523480772480577</v>
      </c>
      <c r="AN38" s="151">
        <f t="shared" si="16"/>
        <v>1.8535316234147852E-25</v>
      </c>
      <c r="AO38" s="135">
        <f t="shared" si="17"/>
        <v>6.637430704019091</v>
      </c>
      <c r="AP38" s="151">
        <f t="shared" si="18"/>
        <v>5.821032177708713E-05</v>
      </c>
      <c r="AQ38" s="135">
        <f t="shared" si="19"/>
        <v>0.001</v>
      </c>
      <c r="AR38" s="151">
        <f t="shared" si="20"/>
        <v>68.0769358693743</v>
      </c>
      <c r="AS38" s="135">
        <f t="shared" si="21"/>
        <v>0.05000345349769787</v>
      </c>
      <c r="AT38" s="151">
        <f t="shared" si="22"/>
        <v>3.228494121712544E-30</v>
      </c>
      <c r="AU38" s="135">
        <f t="shared" si="23"/>
        <v>18.706821403658033</v>
      </c>
      <c r="AV38" s="151">
        <f t="shared" si="24"/>
        <v>0.07112135136533294</v>
      </c>
      <c r="AW38" s="135">
        <f t="shared" si="25"/>
        <v>1E-13</v>
      </c>
      <c r="AX38" s="151">
        <f t="shared" si="26"/>
        <v>68.0769358693743</v>
      </c>
      <c r="AY38" s="136">
        <f t="shared" si="27"/>
        <v>17.988709151287882</v>
      </c>
      <c r="AZ38" s="41"/>
      <c r="BA38" s="160">
        <f t="shared" si="11"/>
        <v>96.59098268720263</v>
      </c>
      <c r="BB38" s="161">
        <f t="shared" si="12"/>
        <v>107.78241190321975</v>
      </c>
      <c r="BD38" s="180" t="s">
        <v>104</v>
      </c>
      <c r="BE38" s="181"/>
    </row>
    <row r="39" spans="2:57" ht="12">
      <c r="B39" s="49">
        <v>515</v>
      </c>
      <c r="C39" s="50">
        <v>0.0291</v>
      </c>
      <c r="D39" s="50">
        <v>0.6082</v>
      </c>
      <c r="E39" s="51">
        <v>0.1117</v>
      </c>
      <c r="F39" s="50">
        <v>0.071358</v>
      </c>
      <c r="G39" s="51">
        <v>0.68566</v>
      </c>
      <c r="H39" s="50">
        <v>0.082248</v>
      </c>
      <c r="I39" s="135">
        <f t="shared" si="7"/>
        <v>69.26175941675521</v>
      </c>
      <c r="J39" s="52">
        <v>89.65</v>
      </c>
      <c r="K39" s="53">
        <v>98.81</v>
      </c>
      <c r="L39" s="52">
        <f t="shared" si="10"/>
        <v>96.85205951523093</v>
      </c>
      <c r="M39" s="53">
        <v>100</v>
      </c>
      <c r="N39" s="53">
        <v>7.04</v>
      </c>
      <c r="O39" s="52">
        <v>12.93</v>
      </c>
      <c r="P39" s="53">
        <v>1.1</v>
      </c>
      <c r="Q39" s="42">
        <f t="shared" si="8"/>
        <v>96.82355360029679</v>
      </c>
      <c r="R39" s="53">
        <v>108.65</v>
      </c>
      <c r="S39" s="52">
        <v>10.9</v>
      </c>
      <c r="T39" s="53">
        <v>-1.25</v>
      </c>
      <c r="U39" s="67">
        <f>AVERAGE(U38,U40)</f>
        <v>4.6075</v>
      </c>
      <c r="V39" s="47">
        <v>-10</v>
      </c>
      <c r="W39" s="46">
        <f aca="true" t="shared" si="36" ref="W39:AI39">AVERAGE(W38,W40)</f>
        <v>3.1035000000000004</v>
      </c>
      <c r="X39" s="140">
        <f t="shared" si="0"/>
        <v>-20.382</v>
      </c>
      <c r="Y39" s="138">
        <f t="shared" si="36"/>
        <v>4.302</v>
      </c>
      <c r="Z39" s="140">
        <f aca="true" t="shared" si="37" ref="Z39:Z102">Z38-0.7</f>
        <v>-1.9349999999999998</v>
      </c>
      <c r="AA39" s="138">
        <f t="shared" si="36"/>
        <v>0</v>
      </c>
      <c r="AB39" s="140">
        <f t="shared" si="36"/>
        <v>4.8985</v>
      </c>
      <c r="AC39" s="138">
        <f t="shared" si="36"/>
        <v>1.3495</v>
      </c>
      <c r="AD39" s="140">
        <f t="shared" si="3"/>
        <v>-25.19100000000001</v>
      </c>
      <c r="AE39" s="138">
        <f t="shared" si="36"/>
        <v>4.449</v>
      </c>
      <c r="AF39" s="140">
        <f>AF38-1.1</f>
        <v>0.752</v>
      </c>
      <c r="AG39" s="138">
        <v>-10</v>
      </c>
      <c r="AH39" s="140">
        <f t="shared" si="36"/>
        <v>4.8985</v>
      </c>
      <c r="AI39" s="142">
        <f t="shared" si="36"/>
        <v>3.977</v>
      </c>
      <c r="AJ39" s="46"/>
      <c r="AK39" s="149">
        <f t="shared" si="9"/>
        <v>40.50419451364933</v>
      </c>
      <c r="AL39" s="151">
        <f t="shared" si="14"/>
        <v>1E-13</v>
      </c>
      <c r="AM39" s="135">
        <f t="shared" si="15"/>
        <v>1.269112144445192</v>
      </c>
      <c r="AN39" s="151">
        <f t="shared" si="16"/>
        <v>4.1495404263436064E-24</v>
      </c>
      <c r="AO39" s="135">
        <f t="shared" si="17"/>
        <v>20.044720273651603</v>
      </c>
      <c r="AP39" s="151">
        <f t="shared" si="18"/>
        <v>1.1614486138403424E-05</v>
      </c>
      <c r="AQ39" s="135">
        <f t="shared" si="19"/>
        <v>0.001</v>
      </c>
      <c r="AR39" s="151">
        <f t="shared" si="20"/>
        <v>79.15894546242627</v>
      </c>
      <c r="AS39" s="135">
        <f t="shared" si="21"/>
        <v>0.022361451987225216</v>
      </c>
      <c r="AT39" s="151">
        <f t="shared" si="22"/>
        <v>6.441692655151602E-29</v>
      </c>
      <c r="AU39" s="135">
        <f t="shared" si="23"/>
        <v>28.11900830398944</v>
      </c>
      <c r="AV39" s="151">
        <f t="shared" si="24"/>
        <v>0.005649369748123027</v>
      </c>
      <c r="AW39" s="135">
        <f t="shared" si="25"/>
        <v>1E-13</v>
      </c>
      <c r="AX39" s="151">
        <f t="shared" si="26"/>
        <v>79.15894546242627</v>
      </c>
      <c r="AY39" s="136">
        <f t="shared" si="27"/>
        <v>9.48418463300898</v>
      </c>
      <c r="AZ39" s="41"/>
      <c r="BA39" s="160">
        <f t="shared" si="11"/>
        <v>96.85205951523093</v>
      </c>
      <c r="BB39" s="161">
        <f t="shared" si="12"/>
        <v>106.27973201510544</v>
      </c>
      <c r="BD39" s="81" t="s">
        <v>102</v>
      </c>
      <c r="BE39" s="82">
        <f>(216/24389)</f>
        <v>0.008856451679035631</v>
      </c>
    </row>
    <row r="40" spans="2:57" ht="12.75" thickBot="1">
      <c r="B40" s="49">
        <v>520</v>
      </c>
      <c r="C40" s="50">
        <v>0.06327</v>
      </c>
      <c r="D40" s="50">
        <v>0.71</v>
      </c>
      <c r="E40" s="51">
        <v>0.07824999</v>
      </c>
      <c r="F40" s="50">
        <v>0.117749</v>
      </c>
      <c r="G40" s="51">
        <v>0.761757</v>
      </c>
      <c r="H40" s="50">
        <v>0.060709</v>
      </c>
      <c r="I40" s="135">
        <f t="shared" si="7"/>
        <v>72.50440522395667</v>
      </c>
      <c r="J40" s="52">
        <v>89.5</v>
      </c>
      <c r="K40" s="53">
        <v>96.9</v>
      </c>
      <c r="L40" s="52">
        <f aca="true" t="shared" si="38" ref="L40:L71">(R40+S40*$BE$7+T40*$BE$8)</f>
        <v>97.11313634325921</v>
      </c>
      <c r="M40" s="53">
        <v>100</v>
      </c>
      <c r="N40" s="53">
        <v>7.16</v>
      </c>
      <c r="O40" s="52">
        <v>12.78</v>
      </c>
      <c r="P40" s="53">
        <v>0.89</v>
      </c>
      <c r="Q40" s="42">
        <f t="shared" si="8"/>
        <v>97.36962842692313</v>
      </c>
      <c r="R40" s="53">
        <v>106.5</v>
      </c>
      <c r="S40" s="52">
        <v>8.6</v>
      </c>
      <c r="T40" s="53">
        <v>-1.2</v>
      </c>
      <c r="U40" s="67">
        <v>4.702</v>
      </c>
      <c r="V40" s="47">
        <v>-10</v>
      </c>
      <c r="W40" s="46">
        <v>2.805</v>
      </c>
      <c r="X40" s="140">
        <f t="shared" si="0"/>
        <v>-19.032</v>
      </c>
      <c r="Y40" s="138">
        <v>4.782</v>
      </c>
      <c r="Z40" s="140">
        <f t="shared" si="37"/>
        <v>-2.635</v>
      </c>
      <c r="AA40" s="138">
        <v>0</v>
      </c>
      <c r="AB40" s="140">
        <v>4.964</v>
      </c>
      <c r="AC40" s="138">
        <v>1</v>
      </c>
      <c r="AD40" s="140">
        <f t="shared" si="3"/>
        <v>-23.89100000000001</v>
      </c>
      <c r="AE40" s="138">
        <v>4.626</v>
      </c>
      <c r="AF40" s="140">
        <f>AF39-1.1</f>
        <v>-0.3480000000000001</v>
      </c>
      <c r="AG40" s="138">
        <v>-10</v>
      </c>
      <c r="AH40" s="140">
        <v>4.964</v>
      </c>
      <c r="AI40" s="142">
        <v>3.699</v>
      </c>
      <c r="AJ40" s="46"/>
      <c r="AK40" s="149">
        <f t="shared" si="9"/>
        <v>50.35006087879053</v>
      </c>
      <c r="AL40" s="151">
        <f t="shared" si="14"/>
        <v>1E-13</v>
      </c>
      <c r="AM40" s="135">
        <f t="shared" si="15"/>
        <v>0.6382634861905492</v>
      </c>
      <c r="AN40" s="151">
        <f t="shared" si="16"/>
        <v>9.289663867799323E-23</v>
      </c>
      <c r="AO40" s="135">
        <f t="shared" si="17"/>
        <v>60.53408747539147</v>
      </c>
      <c r="AP40" s="151">
        <f t="shared" si="18"/>
        <v>2.3173946499684793E-06</v>
      </c>
      <c r="AQ40" s="135">
        <f t="shared" si="19"/>
        <v>0.001</v>
      </c>
      <c r="AR40" s="151">
        <f t="shared" si="20"/>
        <v>92.04495717531728</v>
      </c>
      <c r="AS40" s="135">
        <f t="shared" si="21"/>
        <v>0.01</v>
      </c>
      <c r="AT40" s="151">
        <f t="shared" si="22"/>
        <v>1.2852866599435837E-27</v>
      </c>
      <c r="AU40" s="135">
        <f t="shared" si="23"/>
        <v>42.26686142656034</v>
      </c>
      <c r="AV40" s="151">
        <f t="shared" si="24"/>
        <v>0.0004487453899331321</v>
      </c>
      <c r="AW40" s="135">
        <f t="shared" si="25"/>
        <v>1E-13</v>
      </c>
      <c r="AX40" s="151">
        <f t="shared" si="26"/>
        <v>92.04495717531728</v>
      </c>
      <c r="AY40" s="136">
        <f t="shared" si="27"/>
        <v>5.000345349769791</v>
      </c>
      <c r="AZ40" s="41"/>
      <c r="BA40" s="160">
        <f t="shared" si="11"/>
        <v>97.11313634325921</v>
      </c>
      <c r="BB40" s="161">
        <f t="shared" si="12"/>
        <v>104.77705212699111</v>
      </c>
      <c r="BD40" s="54" t="s">
        <v>103</v>
      </c>
      <c r="BE40" s="83">
        <f>(24389/27)</f>
        <v>903.2962962962963</v>
      </c>
    </row>
    <row r="41" spans="2:54" ht="12">
      <c r="B41" s="49">
        <v>525</v>
      </c>
      <c r="C41" s="50">
        <v>0.1096</v>
      </c>
      <c r="D41" s="50">
        <v>0.7932</v>
      </c>
      <c r="E41" s="51">
        <v>0.05725001</v>
      </c>
      <c r="F41" s="50">
        <v>0.172953</v>
      </c>
      <c r="G41" s="51">
        <v>0.82333</v>
      </c>
      <c r="H41" s="50">
        <v>0.04305</v>
      </c>
      <c r="I41" s="135">
        <f t="shared" si="7"/>
        <v>75.79807075016919</v>
      </c>
      <c r="J41" s="52">
        <v>90.43</v>
      </c>
      <c r="K41" s="53">
        <v>96.78</v>
      </c>
      <c r="L41" s="52">
        <f t="shared" si="38"/>
        <v>99.60021309538033</v>
      </c>
      <c r="M41" s="53">
        <v>100</v>
      </c>
      <c r="N41" s="53">
        <v>7.47</v>
      </c>
      <c r="O41" s="52">
        <v>12.6</v>
      </c>
      <c r="P41" s="53">
        <v>0.83</v>
      </c>
      <c r="Q41" s="42">
        <f t="shared" si="8"/>
        <v>97.86456676874369</v>
      </c>
      <c r="R41" s="53">
        <v>107.65</v>
      </c>
      <c r="S41" s="52">
        <v>7.35</v>
      </c>
      <c r="T41" s="53">
        <v>-1.1</v>
      </c>
      <c r="U41" s="67">
        <f>AVERAGE(U40,U42)</f>
        <v>4.7635000000000005</v>
      </c>
      <c r="V41" s="47">
        <v>-10</v>
      </c>
      <c r="W41" s="46">
        <f aca="true" t="shared" si="39" ref="W41:AI41">AVERAGE(W40,W42)</f>
        <v>2.508</v>
      </c>
      <c r="X41" s="140">
        <f t="shared" si="0"/>
        <v>-17.682</v>
      </c>
      <c r="Y41" s="138">
        <f t="shared" si="39"/>
        <v>4.891</v>
      </c>
      <c r="Z41" s="140">
        <f t="shared" si="37"/>
        <v>-3.335</v>
      </c>
      <c r="AA41" s="138">
        <f t="shared" si="39"/>
        <v>0</v>
      </c>
      <c r="AB41" s="140">
        <f t="shared" si="39"/>
        <v>4.982</v>
      </c>
      <c r="AC41" s="138">
        <v>-10</v>
      </c>
      <c r="AD41" s="140">
        <f t="shared" si="3"/>
        <v>-22.591000000000008</v>
      </c>
      <c r="AE41" s="138">
        <f t="shared" si="39"/>
        <v>4.7490000000000006</v>
      </c>
      <c r="AF41" s="140">
        <f aca="true" t="shared" si="40" ref="AF41:AF102">AF40-1.1</f>
        <v>-1.4480000000000002</v>
      </c>
      <c r="AG41" s="138">
        <v>-10</v>
      </c>
      <c r="AH41" s="140">
        <f t="shared" si="39"/>
        <v>4.982</v>
      </c>
      <c r="AI41" s="142">
        <f t="shared" si="39"/>
        <v>3</v>
      </c>
      <c r="AJ41" s="46"/>
      <c r="AK41" s="149">
        <f t="shared" si="9"/>
        <v>58.00961725227048</v>
      </c>
      <c r="AL41" s="151">
        <f t="shared" si="14"/>
        <v>1E-13</v>
      </c>
      <c r="AM41" s="135">
        <f t="shared" si="15"/>
        <v>0.32210687912834357</v>
      </c>
      <c r="AN41" s="151">
        <f t="shared" si="16"/>
        <v>2.0796966871036895E-21</v>
      </c>
      <c r="AO41" s="135">
        <f t="shared" si="17"/>
        <v>77.80365510398055</v>
      </c>
      <c r="AP41" s="151">
        <f t="shared" si="18"/>
        <v>4.6238102139925987E-07</v>
      </c>
      <c r="AQ41" s="135">
        <f t="shared" si="19"/>
        <v>0.001</v>
      </c>
      <c r="AR41" s="151">
        <f t="shared" si="20"/>
        <v>95.94006315159348</v>
      </c>
      <c r="AS41" s="135">
        <f t="shared" si="21"/>
        <v>1E-13</v>
      </c>
      <c r="AT41" s="151">
        <f t="shared" si="22"/>
        <v>2.5644840365176588E-26</v>
      </c>
      <c r="AU41" s="135">
        <f t="shared" si="23"/>
        <v>56.10479760324716</v>
      </c>
      <c r="AV41" s="151">
        <f t="shared" si="24"/>
        <v>3.564511334262439E-05</v>
      </c>
      <c r="AW41" s="135">
        <f t="shared" si="25"/>
        <v>1E-13</v>
      </c>
      <c r="AX41" s="151">
        <f t="shared" si="26"/>
        <v>95.94006315159348</v>
      </c>
      <c r="AY41" s="136">
        <f t="shared" si="27"/>
        <v>1</v>
      </c>
      <c r="AZ41" s="41"/>
      <c r="BA41" s="160">
        <f t="shared" si="11"/>
        <v>99.60021309538033</v>
      </c>
      <c r="BB41" s="161">
        <f t="shared" si="12"/>
        <v>106.22871677949577</v>
      </c>
    </row>
    <row r="42" spans="2:54" ht="12">
      <c r="B42" s="49">
        <v>530</v>
      </c>
      <c r="C42" s="50">
        <v>0.1655</v>
      </c>
      <c r="D42" s="50">
        <v>0.862</v>
      </c>
      <c r="E42" s="51">
        <v>0.04216</v>
      </c>
      <c r="F42" s="50">
        <v>0.236491</v>
      </c>
      <c r="G42" s="51">
        <v>0.875211</v>
      </c>
      <c r="H42" s="50">
        <v>0.030451</v>
      </c>
      <c r="I42" s="135">
        <f t="shared" si="7"/>
        <v>79.13944806008315</v>
      </c>
      <c r="J42" s="52">
        <v>92.2</v>
      </c>
      <c r="K42" s="53">
        <v>98</v>
      </c>
      <c r="L42" s="52">
        <f t="shared" si="38"/>
        <v>102.08728984750144</v>
      </c>
      <c r="M42" s="53">
        <v>100</v>
      </c>
      <c r="N42" s="53">
        <v>8.04</v>
      </c>
      <c r="O42" s="52">
        <v>12.44</v>
      </c>
      <c r="P42" s="53">
        <v>1.18</v>
      </c>
      <c r="Q42" s="42">
        <f t="shared" si="8"/>
        <v>98.30955173661594</v>
      </c>
      <c r="R42" s="53">
        <v>108.8</v>
      </c>
      <c r="S42" s="52">
        <v>6.1</v>
      </c>
      <c r="T42" s="53">
        <v>-1</v>
      </c>
      <c r="U42" s="67">
        <v>4.825</v>
      </c>
      <c r="V42" s="47">
        <v>-10</v>
      </c>
      <c r="W42" s="46">
        <v>2.211</v>
      </c>
      <c r="X42" s="140">
        <f t="shared" si="0"/>
        <v>-16.331999999999997</v>
      </c>
      <c r="Y42" s="138">
        <v>5</v>
      </c>
      <c r="Z42" s="140">
        <f t="shared" si="37"/>
        <v>-4.035</v>
      </c>
      <c r="AA42" s="138">
        <v>0</v>
      </c>
      <c r="AB42" s="140">
        <v>5</v>
      </c>
      <c r="AC42" s="138">
        <v>-10</v>
      </c>
      <c r="AD42" s="140">
        <f t="shared" si="3"/>
        <v>-21.291000000000007</v>
      </c>
      <c r="AE42" s="138">
        <v>4.872</v>
      </c>
      <c r="AF42" s="140">
        <f t="shared" si="40"/>
        <v>-2.548</v>
      </c>
      <c r="AG42" s="138">
        <v>-10</v>
      </c>
      <c r="AH42" s="140">
        <v>5</v>
      </c>
      <c r="AI42" s="142">
        <v>2.301</v>
      </c>
      <c r="AJ42" s="46"/>
      <c r="AK42" s="149">
        <f t="shared" si="9"/>
        <v>66.83439175686159</v>
      </c>
      <c r="AL42" s="151">
        <f t="shared" si="14"/>
        <v>1E-13</v>
      </c>
      <c r="AM42" s="135">
        <f t="shared" si="15"/>
        <v>0.16255487557504839</v>
      </c>
      <c r="AN42" s="151">
        <f t="shared" si="16"/>
        <v>4.655860935229614E-20</v>
      </c>
      <c r="AO42" s="135">
        <f t="shared" si="17"/>
        <v>100</v>
      </c>
      <c r="AP42" s="151">
        <f t="shared" si="18"/>
        <v>9.225714271547625E-08</v>
      </c>
      <c r="AQ42" s="135">
        <f t="shared" si="19"/>
        <v>0.001</v>
      </c>
      <c r="AR42" s="151">
        <f t="shared" si="20"/>
        <v>100</v>
      </c>
      <c r="AS42" s="135">
        <f t="shared" si="21"/>
        <v>1E-13</v>
      </c>
      <c r="AT42" s="151">
        <f t="shared" si="22"/>
        <v>5.11681835540297E-25</v>
      </c>
      <c r="AU42" s="135">
        <f t="shared" si="23"/>
        <v>74.47319739059898</v>
      </c>
      <c r="AV42" s="151">
        <f t="shared" si="24"/>
        <v>2.8313919957993767E-06</v>
      </c>
      <c r="AW42" s="135">
        <f t="shared" si="25"/>
        <v>1E-13</v>
      </c>
      <c r="AX42" s="151">
        <f t="shared" si="26"/>
        <v>100</v>
      </c>
      <c r="AY42" s="136">
        <f t="shared" si="27"/>
        <v>0.1999861869632746</v>
      </c>
      <c r="AZ42" s="41"/>
      <c r="BA42" s="160">
        <f t="shared" si="11"/>
        <v>102.08728984750144</v>
      </c>
      <c r="BB42" s="161">
        <f t="shared" si="12"/>
        <v>107.6803814320004</v>
      </c>
    </row>
    <row r="43" spans="2:54" ht="12">
      <c r="B43" s="49">
        <v>535</v>
      </c>
      <c r="C43" s="50">
        <v>0.2257499</v>
      </c>
      <c r="D43" s="50">
        <v>0.9148501</v>
      </c>
      <c r="E43" s="51">
        <v>0.02984</v>
      </c>
      <c r="F43" s="50">
        <v>0.304213</v>
      </c>
      <c r="G43" s="51">
        <v>0.92381</v>
      </c>
      <c r="H43" s="50">
        <v>0.020584</v>
      </c>
      <c r="I43" s="135">
        <f t="shared" si="7"/>
        <v>82.52518347797665</v>
      </c>
      <c r="J43" s="52">
        <v>94.46</v>
      </c>
      <c r="K43" s="53">
        <v>99.94</v>
      </c>
      <c r="L43" s="52">
        <f t="shared" si="38"/>
        <v>101.41728254390581</v>
      </c>
      <c r="M43" s="53">
        <v>100</v>
      </c>
      <c r="N43" s="53">
        <v>8.88</v>
      </c>
      <c r="O43" s="52">
        <v>12.33</v>
      </c>
      <c r="P43" s="53">
        <v>4.9</v>
      </c>
      <c r="Q43" s="42">
        <f t="shared" si="8"/>
        <v>98.70579802870277</v>
      </c>
      <c r="R43" s="53">
        <v>107.05</v>
      </c>
      <c r="S43" s="52">
        <v>5.15</v>
      </c>
      <c r="T43" s="53">
        <v>-0.75</v>
      </c>
      <c r="U43" s="67">
        <f>AVERAGE(U42,U44)</f>
        <v>4.865</v>
      </c>
      <c r="V43" s="47">
        <v>-10</v>
      </c>
      <c r="W43" s="46">
        <f aca="true" t="shared" si="41" ref="W43:AI43">AVERAGE(W42,W44)</f>
        <v>1.6055</v>
      </c>
      <c r="X43" s="140">
        <f t="shared" si="0"/>
        <v>-14.981999999999998</v>
      </c>
      <c r="Y43" s="138">
        <f t="shared" si="41"/>
        <v>4.952999999999999</v>
      </c>
      <c r="Z43" s="140">
        <f t="shared" si="37"/>
        <v>-4.735</v>
      </c>
      <c r="AA43" s="138">
        <f t="shared" si="41"/>
        <v>0</v>
      </c>
      <c r="AB43" s="140">
        <f t="shared" si="41"/>
        <v>4.9719999999999995</v>
      </c>
      <c r="AC43" s="138">
        <v>-10</v>
      </c>
      <c r="AD43" s="140">
        <f t="shared" si="3"/>
        <v>-19.991000000000007</v>
      </c>
      <c r="AE43" s="138">
        <f t="shared" si="41"/>
        <v>4.936</v>
      </c>
      <c r="AF43" s="140">
        <f t="shared" si="40"/>
        <v>-3.648</v>
      </c>
      <c r="AG43" s="138">
        <v>-10</v>
      </c>
      <c r="AH43" s="140">
        <f t="shared" si="41"/>
        <v>4.9719999999999995</v>
      </c>
      <c r="AI43" s="142">
        <f t="shared" si="41"/>
        <v>1.9515000000000002</v>
      </c>
      <c r="AJ43" s="46"/>
      <c r="AK43" s="149">
        <f t="shared" si="9"/>
        <v>73.28245331389053</v>
      </c>
      <c r="AL43" s="151">
        <f t="shared" si="14"/>
        <v>1E-13</v>
      </c>
      <c r="AM43" s="135">
        <f t="shared" si="15"/>
        <v>0.04031809464434653</v>
      </c>
      <c r="AN43" s="151">
        <f t="shared" si="16"/>
        <v>1.0423174293933037E-18</v>
      </c>
      <c r="AO43" s="135">
        <f t="shared" si="17"/>
        <v>89.74287945007478</v>
      </c>
      <c r="AP43" s="151">
        <f t="shared" si="18"/>
        <v>1.840772001468954E-08</v>
      </c>
      <c r="AQ43" s="135">
        <f t="shared" si="19"/>
        <v>0.001</v>
      </c>
      <c r="AR43" s="151">
        <f t="shared" si="20"/>
        <v>93.75620069258804</v>
      </c>
      <c r="AS43" s="135">
        <f t="shared" si="21"/>
        <v>1E-13</v>
      </c>
      <c r="AT43" s="151">
        <f t="shared" si="22"/>
        <v>1.0209394837076602E-23</v>
      </c>
      <c r="AU43" s="135">
        <f t="shared" si="23"/>
        <v>86.29785477669716</v>
      </c>
      <c r="AV43" s="151">
        <f t="shared" si="24"/>
        <v>2.249054605835779E-07</v>
      </c>
      <c r="AW43" s="135">
        <f t="shared" si="25"/>
        <v>1E-13</v>
      </c>
      <c r="AX43" s="151">
        <f t="shared" si="26"/>
        <v>93.75620069258804</v>
      </c>
      <c r="AY43" s="136">
        <f t="shared" si="27"/>
        <v>0.08943345319325595</v>
      </c>
      <c r="AZ43" s="41"/>
      <c r="BA43" s="160">
        <f t="shared" si="11"/>
        <v>101.41728254390581</v>
      </c>
      <c r="BB43" s="161">
        <f t="shared" si="12"/>
        <v>106.03984996848438</v>
      </c>
    </row>
    <row r="44" spans="2:54" ht="12">
      <c r="B44" s="49">
        <v>540</v>
      </c>
      <c r="C44" s="50">
        <v>0.2904</v>
      </c>
      <c r="D44" s="50">
        <v>0.954</v>
      </c>
      <c r="E44" s="51">
        <v>0.0203</v>
      </c>
      <c r="F44" s="50">
        <v>0.376772</v>
      </c>
      <c r="G44" s="51">
        <v>0.961988</v>
      </c>
      <c r="H44" s="50">
        <v>0.013676</v>
      </c>
      <c r="I44" s="135">
        <f t="shared" si="7"/>
        <v>85.95188857455156</v>
      </c>
      <c r="J44" s="52">
        <v>96.9</v>
      </c>
      <c r="K44" s="53">
        <v>102.1</v>
      </c>
      <c r="L44" s="52">
        <f t="shared" si="38"/>
        <v>100.74727524031019</v>
      </c>
      <c r="M44" s="53">
        <v>100</v>
      </c>
      <c r="N44" s="53">
        <v>10.01</v>
      </c>
      <c r="O44" s="52">
        <v>12.26</v>
      </c>
      <c r="P44" s="53">
        <v>39.59</v>
      </c>
      <c r="Q44" s="42">
        <f t="shared" si="8"/>
        <v>99.05454631961742</v>
      </c>
      <c r="R44" s="53">
        <v>105.3</v>
      </c>
      <c r="S44" s="52">
        <v>4.2</v>
      </c>
      <c r="T44" s="53">
        <v>-0.5</v>
      </c>
      <c r="U44" s="67">
        <v>4.905</v>
      </c>
      <c r="V44" s="47">
        <v>-10</v>
      </c>
      <c r="W44" s="46">
        <v>1</v>
      </c>
      <c r="X44" s="140">
        <f t="shared" si="0"/>
        <v>-13.631999999999998</v>
      </c>
      <c r="Y44" s="138">
        <v>4.906</v>
      </c>
      <c r="Z44" s="140">
        <f t="shared" si="37"/>
        <v>-5.4350000000000005</v>
      </c>
      <c r="AA44" s="138">
        <v>0</v>
      </c>
      <c r="AB44" s="140">
        <v>4.944</v>
      </c>
      <c r="AC44" s="138">
        <v>-10</v>
      </c>
      <c r="AD44" s="140">
        <f t="shared" si="3"/>
        <v>-18.691000000000006</v>
      </c>
      <c r="AE44" s="138">
        <v>5</v>
      </c>
      <c r="AF44" s="140">
        <f t="shared" si="40"/>
        <v>-4.748</v>
      </c>
      <c r="AG44" s="138">
        <v>-10</v>
      </c>
      <c r="AH44" s="140">
        <v>4.944</v>
      </c>
      <c r="AI44" s="142">
        <v>1.602</v>
      </c>
      <c r="AJ44" s="46"/>
      <c r="AK44" s="149">
        <f t="shared" si="9"/>
        <v>80.35261221856182</v>
      </c>
      <c r="AL44" s="151">
        <f t="shared" si="14"/>
        <v>1E-13</v>
      </c>
      <c r="AM44" s="135">
        <f t="shared" si="15"/>
        <v>0.01</v>
      </c>
      <c r="AN44" s="151">
        <f t="shared" si="16"/>
        <v>2.3334580622810048E-17</v>
      </c>
      <c r="AO44" s="135">
        <f t="shared" si="17"/>
        <v>80.53784411990665</v>
      </c>
      <c r="AP44" s="151">
        <f t="shared" si="18"/>
        <v>3.6728230049808357E-09</v>
      </c>
      <c r="AQ44" s="135">
        <f t="shared" si="19"/>
        <v>0.001</v>
      </c>
      <c r="AR44" s="151">
        <f t="shared" si="20"/>
        <v>87.9022516830886</v>
      </c>
      <c r="AS44" s="135">
        <f t="shared" si="21"/>
        <v>1E-13</v>
      </c>
      <c r="AT44" s="151">
        <f t="shared" si="22"/>
        <v>2.0370420777056823E-22</v>
      </c>
      <c r="AU44" s="135">
        <f t="shared" si="23"/>
        <v>100</v>
      </c>
      <c r="AV44" s="151">
        <f t="shared" si="24"/>
        <v>1.7864875748520486E-08</v>
      </c>
      <c r="AW44" s="135">
        <f t="shared" si="25"/>
        <v>1E-13</v>
      </c>
      <c r="AX44" s="151">
        <f t="shared" si="26"/>
        <v>87.9022516830886</v>
      </c>
      <c r="AY44" s="136">
        <f t="shared" si="27"/>
        <v>0.03999447497610978</v>
      </c>
      <c r="AZ44" s="41"/>
      <c r="BA44" s="160">
        <f t="shared" si="11"/>
        <v>100.74727524031019</v>
      </c>
      <c r="BB44" s="161">
        <f t="shared" si="12"/>
        <v>104.39931850496835</v>
      </c>
    </row>
    <row r="45" spans="2:54" ht="12">
      <c r="B45" s="49">
        <v>545</v>
      </c>
      <c r="C45" s="50">
        <v>0.3597</v>
      </c>
      <c r="D45" s="50">
        <v>0.9803</v>
      </c>
      <c r="E45" s="51">
        <v>0.0134</v>
      </c>
      <c r="F45" s="50">
        <v>0.451584</v>
      </c>
      <c r="G45" s="51">
        <v>0.9822</v>
      </c>
      <c r="H45" s="50">
        <v>0.007918</v>
      </c>
      <c r="I45" s="135">
        <f t="shared" si="7"/>
        <v>89.41615073499705</v>
      </c>
      <c r="J45" s="52">
        <v>99.16</v>
      </c>
      <c r="K45" s="53">
        <v>103.95</v>
      </c>
      <c r="L45" s="52">
        <f t="shared" si="38"/>
        <v>101.53031984604516</v>
      </c>
      <c r="M45" s="53">
        <v>100</v>
      </c>
      <c r="N45" s="53">
        <v>24.88</v>
      </c>
      <c r="O45" s="52">
        <v>29.52</v>
      </c>
      <c r="P45" s="53">
        <v>72.84</v>
      </c>
      <c r="Q45" s="42">
        <f t="shared" si="8"/>
        <v>99.35705803728824</v>
      </c>
      <c r="R45" s="53">
        <v>104.85</v>
      </c>
      <c r="S45" s="52">
        <v>3.05</v>
      </c>
      <c r="T45" s="53">
        <v>-0.4</v>
      </c>
      <c r="U45" s="67">
        <f>AVERAGE(U44,U46)</f>
        <v>4.931</v>
      </c>
      <c r="V45" s="47">
        <v>-10</v>
      </c>
      <c r="W45" s="46">
        <v>-10</v>
      </c>
      <c r="X45" s="140">
        <f t="shared" si="0"/>
        <v>-12.281999999999998</v>
      </c>
      <c r="Y45" s="138">
        <f aca="true" t="shared" si="42" ref="Y45:AI45">AVERAGE(Y44,Y46)</f>
        <v>4.775</v>
      </c>
      <c r="Z45" s="140">
        <f t="shared" si="37"/>
        <v>-6.135000000000001</v>
      </c>
      <c r="AA45" s="138">
        <f t="shared" si="42"/>
        <v>0</v>
      </c>
      <c r="AB45" s="140">
        <f t="shared" si="42"/>
        <v>4.882</v>
      </c>
      <c r="AC45" s="138">
        <v>-10</v>
      </c>
      <c r="AD45" s="140">
        <f t="shared" si="3"/>
        <v>-17.391000000000005</v>
      </c>
      <c r="AE45" s="138">
        <f t="shared" si="42"/>
        <v>4.9975000000000005</v>
      </c>
      <c r="AF45" s="140">
        <f t="shared" si="40"/>
        <v>-5.848000000000001</v>
      </c>
      <c r="AG45" s="138">
        <v>-10</v>
      </c>
      <c r="AH45" s="140">
        <f t="shared" si="42"/>
        <v>4.882</v>
      </c>
      <c r="AI45" s="142">
        <f t="shared" si="42"/>
        <v>0.801</v>
      </c>
      <c r="AJ45" s="46"/>
      <c r="AK45" s="149">
        <f t="shared" si="9"/>
        <v>85.31001140175907</v>
      </c>
      <c r="AL45" s="151">
        <f t="shared" si="14"/>
        <v>1E-13</v>
      </c>
      <c r="AM45" s="135">
        <f t="shared" si="15"/>
        <v>1E-13</v>
      </c>
      <c r="AN45" s="151">
        <f t="shared" si="16"/>
        <v>5.22396188999121E-16</v>
      </c>
      <c r="AO45" s="135">
        <f t="shared" si="17"/>
        <v>59.56621435290119</v>
      </c>
      <c r="AP45" s="151">
        <f t="shared" si="18"/>
        <v>7.328245331389014E-10</v>
      </c>
      <c r="AQ45" s="135">
        <f t="shared" si="19"/>
        <v>0.001</v>
      </c>
      <c r="AR45" s="151">
        <f t="shared" si="20"/>
        <v>76.20790100254128</v>
      </c>
      <c r="AS45" s="135">
        <f t="shared" si="21"/>
        <v>1E-13</v>
      </c>
      <c r="AT45" s="151">
        <f t="shared" si="22"/>
        <v>4.064433291652063E-21</v>
      </c>
      <c r="AU45" s="135">
        <f t="shared" si="23"/>
        <v>99.42600739529587</v>
      </c>
      <c r="AV45" s="151">
        <f t="shared" si="24"/>
        <v>1.4190575216890877E-09</v>
      </c>
      <c r="AW45" s="135">
        <f t="shared" si="25"/>
        <v>1E-13</v>
      </c>
      <c r="AX45" s="151">
        <f t="shared" si="26"/>
        <v>76.20790100254128</v>
      </c>
      <c r="AY45" s="136">
        <f t="shared" si="27"/>
        <v>0.006324118513762197</v>
      </c>
      <c r="AZ45" s="41"/>
      <c r="BA45" s="160">
        <f t="shared" si="11"/>
        <v>101.53031984604516</v>
      </c>
      <c r="BB45" s="161">
        <f t="shared" si="12"/>
        <v>104.22134209564412</v>
      </c>
    </row>
    <row r="46" spans="2:54" ht="12">
      <c r="B46" s="49">
        <v>550</v>
      </c>
      <c r="C46" s="50">
        <v>0.4334499</v>
      </c>
      <c r="D46" s="50">
        <v>0.9949501</v>
      </c>
      <c r="E46" s="51">
        <v>0.008749999</v>
      </c>
      <c r="F46" s="50">
        <v>0.529826</v>
      </c>
      <c r="G46" s="51">
        <v>0.991761</v>
      </c>
      <c r="H46" s="50">
        <v>0.003988</v>
      </c>
      <c r="I46" s="135">
        <f t="shared" si="7"/>
        <v>92.91454328279498</v>
      </c>
      <c r="J46" s="52">
        <v>101</v>
      </c>
      <c r="K46" s="53">
        <v>105.2</v>
      </c>
      <c r="L46" s="52">
        <f t="shared" si="38"/>
        <v>102.31336445178015</v>
      </c>
      <c r="M46" s="53">
        <v>100</v>
      </c>
      <c r="N46" s="53">
        <v>16.64</v>
      </c>
      <c r="O46" s="52">
        <v>17.05</v>
      </c>
      <c r="P46" s="53">
        <v>32.61</v>
      </c>
      <c r="Q46" s="42">
        <f t="shared" si="8"/>
        <v>99.61461051383009</v>
      </c>
      <c r="R46" s="53">
        <v>104.4</v>
      </c>
      <c r="S46" s="52">
        <v>1.9</v>
      </c>
      <c r="T46" s="53">
        <v>-0.3</v>
      </c>
      <c r="U46" s="67">
        <v>4.957</v>
      </c>
      <c r="V46" s="47">
        <v>-10</v>
      </c>
      <c r="W46" s="46">
        <v>-10</v>
      </c>
      <c r="X46" s="140">
        <f t="shared" si="0"/>
        <v>-10.931999999999999</v>
      </c>
      <c r="Y46" s="138">
        <v>4.644</v>
      </c>
      <c r="Z46" s="140">
        <f t="shared" si="37"/>
        <v>-6.835000000000001</v>
      </c>
      <c r="AA46" s="138">
        <v>0</v>
      </c>
      <c r="AB46" s="140">
        <v>4.82</v>
      </c>
      <c r="AC46" s="138">
        <v>-10</v>
      </c>
      <c r="AD46" s="140">
        <f t="shared" si="3"/>
        <v>-16.091000000000005</v>
      </c>
      <c r="AE46" s="138">
        <v>4.995</v>
      </c>
      <c r="AF46" s="140">
        <f t="shared" si="40"/>
        <v>-6.948</v>
      </c>
      <c r="AG46" s="138">
        <v>-10</v>
      </c>
      <c r="AH46" s="140">
        <v>4.82</v>
      </c>
      <c r="AI46" s="142">
        <v>0</v>
      </c>
      <c r="AJ46" s="46"/>
      <c r="AK46" s="149">
        <f t="shared" si="9"/>
        <v>90.57326008982004</v>
      </c>
      <c r="AL46" s="151">
        <f t="shared" si="14"/>
        <v>1E-13</v>
      </c>
      <c r="AM46" s="135">
        <f t="shared" si="15"/>
        <v>1E-13</v>
      </c>
      <c r="AN46" s="151">
        <f t="shared" si="16"/>
        <v>1.1694993910198708E-14</v>
      </c>
      <c r="AO46" s="135">
        <f t="shared" si="17"/>
        <v>44.05548635065538</v>
      </c>
      <c r="AP46" s="151">
        <f t="shared" si="18"/>
        <v>1.4621771744567122E-10</v>
      </c>
      <c r="AQ46" s="135">
        <f t="shared" si="19"/>
        <v>0.001</v>
      </c>
      <c r="AR46" s="151">
        <f t="shared" si="20"/>
        <v>66.06934480075974</v>
      </c>
      <c r="AS46" s="135">
        <f t="shared" si="21"/>
        <v>1E-13</v>
      </c>
      <c r="AT46" s="151">
        <f t="shared" si="22"/>
        <v>8.109610578538295E-20</v>
      </c>
      <c r="AU46" s="135">
        <f t="shared" si="23"/>
        <v>98.85530946569408</v>
      </c>
      <c r="AV46" s="151">
        <f t="shared" si="24"/>
        <v>1.1271974561755067E-10</v>
      </c>
      <c r="AW46" s="135">
        <f t="shared" si="25"/>
        <v>1E-13</v>
      </c>
      <c r="AX46" s="151">
        <f t="shared" si="26"/>
        <v>66.06934480075974</v>
      </c>
      <c r="AY46" s="136">
        <f t="shared" si="27"/>
        <v>0.001</v>
      </c>
      <c r="AZ46" s="41"/>
      <c r="BA46" s="160">
        <f t="shared" si="11"/>
        <v>102.31336445178015</v>
      </c>
      <c r="BB46" s="161">
        <f t="shared" si="12"/>
        <v>104.04336568631993</v>
      </c>
    </row>
    <row r="47" spans="2:54" ht="12">
      <c r="B47" s="49">
        <v>555</v>
      </c>
      <c r="C47" s="50">
        <v>0.5120501</v>
      </c>
      <c r="D47" s="50">
        <v>1</v>
      </c>
      <c r="E47" s="51">
        <v>0.005749999</v>
      </c>
      <c r="F47" s="50">
        <v>0.616053</v>
      </c>
      <c r="G47" s="51">
        <v>0.99911</v>
      </c>
      <c r="H47" s="50">
        <v>0.001091</v>
      </c>
      <c r="I47" s="135">
        <f t="shared" si="7"/>
        <v>96.44363513882465</v>
      </c>
      <c r="J47" s="52">
        <v>102.2</v>
      </c>
      <c r="K47" s="53">
        <v>105.67</v>
      </c>
      <c r="L47" s="52">
        <f t="shared" si="38"/>
        <v>101.15668222589007</v>
      </c>
      <c r="M47" s="53">
        <v>100</v>
      </c>
      <c r="N47" s="53">
        <v>14.59</v>
      </c>
      <c r="O47" s="52">
        <v>12.44</v>
      </c>
      <c r="P47" s="53">
        <v>7.52</v>
      </c>
      <c r="Q47" s="42">
        <f t="shared" si="8"/>
        <v>99.82849249596407</v>
      </c>
      <c r="R47" s="53">
        <v>102.2</v>
      </c>
      <c r="S47" s="52">
        <v>0.95</v>
      </c>
      <c r="T47" s="53">
        <v>-0.15</v>
      </c>
      <c r="U47" s="67">
        <f>AVERAGE(U46,U48)</f>
        <v>4.973</v>
      </c>
      <c r="V47" s="47">
        <v>-10</v>
      </c>
      <c r="W47" s="46">
        <v>-10</v>
      </c>
      <c r="X47" s="140">
        <f t="shared" si="0"/>
        <v>-9.581999999999999</v>
      </c>
      <c r="Y47" s="138">
        <f>AVERAGE(Y46,Y48)</f>
        <v>4.4325</v>
      </c>
      <c r="Z47" s="140">
        <f t="shared" si="37"/>
        <v>-7.535000000000001</v>
      </c>
      <c r="AA47" s="138">
        <f>AVERAGE(AA46,AA48)</f>
        <v>0.5</v>
      </c>
      <c r="AB47" s="140">
        <f>AVERAGE(AB46,AB48)</f>
        <v>4.721500000000001</v>
      </c>
      <c r="AC47" s="138">
        <v>-10</v>
      </c>
      <c r="AD47" s="140">
        <f t="shared" si="3"/>
        <v>-14.791000000000004</v>
      </c>
      <c r="AE47" s="138">
        <f>AVERAGE(AE46,AE48)</f>
        <v>4.906499999999999</v>
      </c>
      <c r="AF47" s="140">
        <f t="shared" si="40"/>
        <v>-8.048</v>
      </c>
      <c r="AG47" s="138">
        <v>-10</v>
      </c>
      <c r="AH47" s="140">
        <f>AVERAGE(AH46,AH48)</f>
        <v>4.721500000000001</v>
      </c>
      <c r="AI47" s="142">
        <v>-10</v>
      </c>
      <c r="AJ47" s="46"/>
      <c r="AK47" s="149">
        <f t="shared" si="9"/>
        <v>93.97233105646386</v>
      </c>
      <c r="AL47" s="151">
        <f t="shared" si="14"/>
        <v>1E-13</v>
      </c>
      <c r="AM47" s="135">
        <f t="shared" si="15"/>
        <v>1E-13</v>
      </c>
      <c r="AN47" s="151">
        <f t="shared" si="16"/>
        <v>2.6181830082189887E-13</v>
      </c>
      <c r="AO47" s="135">
        <f t="shared" si="17"/>
        <v>27.070732039213624</v>
      </c>
      <c r="AP47" s="151">
        <f t="shared" si="18"/>
        <v>2.917427014001159E-11</v>
      </c>
      <c r="AQ47" s="135">
        <f t="shared" si="19"/>
        <v>0.0031622776601683794</v>
      </c>
      <c r="AR47" s="151">
        <f t="shared" si="20"/>
        <v>52.66232148938985</v>
      </c>
      <c r="AS47" s="135">
        <f t="shared" si="21"/>
        <v>1E-13</v>
      </c>
      <c r="AT47" s="151">
        <f t="shared" si="22"/>
        <v>1.6180800376430461E-18</v>
      </c>
      <c r="AU47" s="135">
        <f t="shared" si="23"/>
        <v>80.6306201354728</v>
      </c>
      <c r="AV47" s="151">
        <f t="shared" si="24"/>
        <v>8.953647655495909E-12</v>
      </c>
      <c r="AW47" s="135">
        <f t="shared" si="25"/>
        <v>1E-13</v>
      </c>
      <c r="AX47" s="151">
        <f t="shared" si="26"/>
        <v>52.66232148938985</v>
      </c>
      <c r="AY47" s="136">
        <f t="shared" si="27"/>
        <v>1E-13</v>
      </c>
      <c r="AZ47" s="41"/>
      <c r="BA47" s="160">
        <f t="shared" si="11"/>
        <v>101.15668222589007</v>
      </c>
      <c r="BB47" s="161">
        <f t="shared" si="12"/>
        <v>102.02168284315997</v>
      </c>
    </row>
    <row r="48" spans="2:54" ht="12">
      <c r="B48" s="49">
        <v>560</v>
      </c>
      <c r="C48" s="50">
        <v>0.5945</v>
      </c>
      <c r="D48" s="50">
        <v>0.995</v>
      </c>
      <c r="E48" s="51">
        <v>0.0039</v>
      </c>
      <c r="F48" s="50">
        <v>0.705224</v>
      </c>
      <c r="G48" s="51">
        <v>0.99734</v>
      </c>
      <c r="H48" s="50">
        <v>0</v>
      </c>
      <c r="I48" s="135">
        <f t="shared" si="7"/>
        <v>100</v>
      </c>
      <c r="J48" s="52">
        <v>102.8</v>
      </c>
      <c r="K48" s="53">
        <v>105.3</v>
      </c>
      <c r="L48" s="52">
        <f t="shared" si="38"/>
        <v>100</v>
      </c>
      <c r="M48" s="53">
        <v>100</v>
      </c>
      <c r="N48" s="53">
        <v>16.16</v>
      </c>
      <c r="O48" s="52">
        <v>12.58</v>
      </c>
      <c r="P48" s="53">
        <v>2.83</v>
      </c>
      <c r="Q48" s="42">
        <f t="shared" si="8"/>
        <v>100</v>
      </c>
      <c r="R48" s="53">
        <v>100</v>
      </c>
      <c r="S48" s="52">
        <v>0</v>
      </c>
      <c r="T48" s="53">
        <v>0</v>
      </c>
      <c r="U48" s="67">
        <v>4.989</v>
      </c>
      <c r="V48" s="47">
        <v>-10</v>
      </c>
      <c r="W48" s="46">
        <v>-10</v>
      </c>
      <c r="X48" s="140">
        <f t="shared" si="0"/>
        <v>-8.232</v>
      </c>
      <c r="Y48" s="138">
        <v>4.221</v>
      </c>
      <c r="Z48" s="140">
        <f t="shared" si="37"/>
        <v>-8.235000000000001</v>
      </c>
      <c r="AA48" s="138">
        <v>1</v>
      </c>
      <c r="AB48" s="140">
        <v>4.623</v>
      </c>
      <c r="AC48" s="138">
        <v>-10</v>
      </c>
      <c r="AD48" s="140">
        <f t="shared" si="3"/>
        <v>-13.491000000000003</v>
      </c>
      <c r="AE48" s="138">
        <v>4.818</v>
      </c>
      <c r="AF48" s="140">
        <f t="shared" si="40"/>
        <v>-9.148</v>
      </c>
      <c r="AG48" s="138">
        <v>0</v>
      </c>
      <c r="AH48" s="140">
        <v>4.623</v>
      </c>
      <c r="AI48" s="142">
        <v>-10</v>
      </c>
      <c r="AJ48" s="46"/>
      <c r="AK48" s="149">
        <f t="shared" si="9"/>
        <v>97.49896377173883</v>
      </c>
      <c r="AL48" s="151">
        <f t="shared" si="14"/>
        <v>1E-13</v>
      </c>
      <c r="AM48" s="135">
        <f t="shared" si="15"/>
        <v>1E-13</v>
      </c>
      <c r="AN48" s="151">
        <f t="shared" si="16"/>
        <v>5.861381645140282E-12</v>
      </c>
      <c r="AO48" s="135">
        <f t="shared" si="17"/>
        <v>16.634126503701715</v>
      </c>
      <c r="AP48" s="151">
        <f t="shared" si="18"/>
        <v>5.821032177708696E-12</v>
      </c>
      <c r="AQ48" s="135">
        <f t="shared" si="19"/>
        <v>0.01</v>
      </c>
      <c r="AR48" s="151">
        <f t="shared" si="20"/>
        <v>41.97589839910085</v>
      </c>
      <c r="AS48" s="135">
        <f t="shared" si="21"/>
        <v>1E-13</v>
      </c>
      <c r="AT48" s="151">
        <f t="shared" si="22"/>
        <v>3.2284941217126023E-17</v>
      </c>
      <c r="AU48" s="135">
        <f t="shared" si="23"/>
        <v>65.76578373554207</v>
      </c>
      <c r="AV48" s="151">
        <f t="shared" si="24"/>
        <v>7.11213513653329E-13</v>
      </c>
      <c r="AW48" s="135">
        <f t="shared" si="25"/>
        <v>0.001</v>
      </c>
      <c r="AX48" s="151">
        <f t="shared" si="26"/>
        <v>41.97589839910085</v>
      </c>
      <c r="AY48" s="136">
        <f t="shared" si="27"/>
        <v>1E-13</v>
      </c>
      <c r="AZ48" s="41"/>
      <c r="BA48" s="160">
        <f t="shared" si="11"/>
        <v>100</v>
      </c>
      <c r="BB48" s="161">
        <f t="shared" si="12"/>
        <v>100</v>
      </c>
    </row>
    <row r="49" spans="2:54" ht="12">
      <c r="B49" s="49">
        <v>565</v>
      </c>
      <c r="C49" s="50">
        <v>0.6784</v>
      </c>
      <c r="D49" s="50">
        <v>0.9786</v>
      </c>
      <c r="E49" s="51">
        <v>0.002749999</v>
      </c>
      <c r="F49" s="50">
        <v>0.793832</v>
      </c>
      <c r="G49" s="51">
        <v>0.98238</v>
      </c>
      <c r="H49" s="50">
        <v>0</v>
      </c>
      <c r="I49" s="135">
        <f t="shared" si="7"/>
        <v>103.58022502599965</v>
      </c>
      <c r="J49" s="52">
        <v>102.92</v>
      </c>
      <c r="K49" s="53">
        <v>104.11</v>
      </c>
      <c r="L49" s="52">
        <f t="shared" si="38"/>
        <v>98.8689320933835</v>
      </c>
      <c r="M49" s="53">
        <v>100</v>
      </c>
      <c r="N49" s="53">
        <v>17.6</v>
      </c>
      <c r="O49" s="52">
        <v>12.72</v>
      </c>
      <c r="P49" s="53">
        <v>1.96</v>
      </c>
      <c r="Q49" s="42">
        <f t="shared" si="8"/>
        <v>100.13043249604891</v>
      </c>
      <c r="R49" s="53">
        <v>98</v>
      </c>
      <c r="S49" s="52">
        <v>-0.8</v>
      </c>
      <c r="T49" s="53">
        <v>0.1</v>
      </c>
      <c r="U49" s="67">
        <f>AVERAGE(U48,U50)</f>
        <v>4.9945</v>
      </c>
      <c r="V49" s="47">
        <v>-10</v>
      </c>
      <c r="W49" s="46">
        <v>-10</v>
      </c>
      <c r="X49" s="140">
        <f t="shared" si="0"/>
        <v>-6.882</v>
      </c>
      <c r="Y49" s="138">
        <f aca="true" t="shared" si="43" ref="Y49:AH49">AVERAGE(Y48,Y50)</f>
        <v>3.915</v>
      </c>
      <c r="Z49" s="140">
        <f t="shared" si="37"/>
        <v>-8.935</v>
      </c>
      <c r="AA49" s="138">
        <f t="shared" si="43"/>
        <v>1.389</v>
      </c>
      <c r="AB49" s="140">
        <f t="shared" si="43"/>
        <v>4.4825</v>
      </c>
      <c r="AC49" s="138">
        <v>-10</v>
      </c>
      <c r="AD49" s="140">
        <f t="shared" si="3"/>
        <v>-12.191000000000003</v>
      </c>
      <c r="AE49" s="138">
        <f t="shared" si="43"/>
        <v>4.638</v>
      </c>
      <c r="AF49" s="140">
        <f t="shared" si="40"/>
        <v>-10.248</v>
      </c>
      <c r="AG49" s="138">
        <f t="shared" si="43"/>
        <v>0.889</v>
      </c>
      <c r="AH49" s="140">
        <f t="shared" si="43"/>
        <v>4.4825</v>
      </c>
      <c r="AI49" s="142">
        <v>-10</v>
      </c>
      <c r="AJ49" s="46"/>
      <c r="AK49" s="149">
        <f t="shared" si="9"/>
        <v>98.74156357468674</v>
      </c>
      <c r="AL49" s="151">
        <f t="shared" si="14"/>
        <v>1E-13</v>
      </c>
      <c r="AM49" s="135">
        <f t="shared" si="15"/>
        <v>1E-13</v>
      </c>
      <c r="AN49" s="151">
        <f t="shared" si="16"/>
        <v>1.3121998990192013E-10</v>
      </c>
      <c r="AO49" s="135">
        <f t="shared" si="17"/>
        <v>8.222426499470725</v>
      </c>
      <c r="AP49" s="151">
        <f t="shared" si="18"/>
        <v>1.1614486138403388E-12</v>
      </c>
      <c r="AQ49" s="135">
        <f t="shared" si="19"/>
        <v>0.024490632418447462</v>
      </c>
      <c r="AR49" s="151">
        <f t="shared" si="20"/>
        <v>30.373860919461098</v>
      </c>
      <c r="AS49" s="135">
        <f t="shared" si="21"/>
        <v>1E-13</v>
      </c>
      <c r="AT49" s="151">
        <f t="shared" si="22"/>
        <v>6.441692655151717E-16</v>
      </c>
      <c r="AU49" s="135">
        <f t="shared" si="23"/>
        <v>43.451022417157176</v>
      </c>
      <c r="AV49" s="151">
        <f t="shared" si="24"/>
        <v>5.649369748123025E-14</v>
      </c>
      <c r="AW49" s="135">
        <f t="shared" si="25"/>
        <v>0.007744617978025189</v>
      </c>
      <c r="AX49" s="151">
        <f t="shared" si="26"/>
        <v>30.373860919461098</v>
      </c>
      <c r="AY49" s="136">
        <f t="shared" si="27"/>
        <v>1E-13</v>
      </c>
      <c r="AZ49" s="41"/>
      <c r="BA49" s="160">
        <f t="shared" si="11"/>
        <v>98.8689320933835</v>
      </c>
      <c r="BB49" s="161">
        <f t="shared" si="12"/>
        <v>98.16827987427479</v>
      </c>
    </row>
    <row r="50" spans="2:54" ht="12">
      <c r="B50" s="49">
        <v>570</v>
      </c>
      <c r="C50" s="50">
        <v>0.7621</v>
      </c>
      <c r="D50" s="50">
        <v>0.952</v>
      </c>
      <c r="E50" s="51">
        <v>0.0021</v>
      </c>
      <c r="F50" s="50">
        <v>0.878655</v>
      </c>
      <c r="G50" s="51">
        <v>0.955552</v>
      </c>
      <c r="H50" s="50">
        <v>0</v>
      </c>
      <c r="I50" s="135">
        <f t="shared" si="7"/>
        <v>107.18091902662721</v>
      </c>
      <c r="J50" s="52">
        <v>102.6</v>
      </c>
      <c r="K50" s="53">
        <v>102.3</v>
      </c>
      <c r="L50" s="52">
        <f t="shared" si="38"/>
        <v>97.73786418676701</v>
      </c>
      <c r="M50" s="53">
        <v>100</v>
      </c>
      <c r="N50" s="53">
        <v>18.62</v>
      </c>
      <c r="O50" s="52">
        <v>12.83</v>
      </c>
      <c r="P50" s="53">
        <v>1.67</v>
      </c>
      <c r="Q50" s="42">
        <f t="shared" si="8"/>
        <v>100.22108940595362</v>
      </c>
      <c r="R50" s="53">
        <v>96</v>
      </c>
      <c r="S50" s="52">
        <v>-1.6</v>
      </c>
      <c r="T50" s="53">
        <v>0.2</v>
      </c>
      <c r="U50" s="67">
        <v>5</v>
      </c>
      <c r="V50" s="47">
        <v>-10</v>
      </c>
      <c r="W50" s="46">
        <v>-10</v>
      </c>
      <c r="X50" s="140">
        <f t="shared" si="0"/>
        <v>-5.532</v>
      </c>
      <c r="Y50" s="138">
        <v>3.609</v>
      </c>
      <c r="Z50" s="140">
        <f t="shared" si="37"/>
        <v>-9.635</v>
      </c>
      <c r="AA50" s="138">
        <v>1.778</v>
      </c>
      <c r="AB50" s="140">
        <v>4.342</v>
      </c>
      <c r="AC50" s="138">
        <v>-10</v>
      </c>
      <c r="AD50" s="140">
        <f t="shared" si="3"/>
        <v>-10.891000000000002</v>
      </c>
      <c r="AE50" s="138">
        <v>4.458</v>
      </c>
      <c r="AF50" s="140">
        <f t="shared" si="40"/>
        <v>-11.347999999999999</v>
      </c>
      <c r="AG50" s="138">
        <v>1.778</v>
      </c>
      <c r="AH50" s="140">
        <v>4.342</v>
      </c>
      <c r="AI50" s="142">
        <v>-10</v>
      </c>
      <c r="AJ50" s="46"/>
      <c r="AK50" s="149">
        <f t="shared" si="9"/>
        <v>100</v>
      </c>
      <c r="AL50" s="151">
        <f t="shared" si="14"/>
        <v>1E-13</v>
      </c>
      <c r="AM50" s="135">
        <f t="shared" si="15"/>
        <v>1E-13</v>
      </c>
      <c r="AN50" s="151">
        <f t="shared" si="16"/>
        <v>2.9376496519615252E-09</v>
      </c>
      <c r="AO50" s="135">
        <f t="shared" si="17"/>
        <v>4.064433291652129</v>
      </c>
      <c r="AP50" s="151">
        <f t="shared" si="18"/>
        <v>2.317394649968478E-13</v>
      </c>
      <c r="AQ50" s="135">
        <f t="shared" si="19"/>
        <v>0.059979107625550955</v>
      </c>
      <c r="AR50" s="151">
        <f t="shared" si="20"/>
        <v>21.97859872784827</v>
      </c>
      <c r="AS50" s="135">
        <f t="shared" si="21"/>
        <v>1E-13</v>
      </c>
      <c r="AT50" s="151">
        <f t="shared" si="22"/>
        <v>1.2852866599436069E-14</v>
      </c>
      <c r="AU50" s="135">
        <f t="shared" si="23"/>
        <v>28.707805820246968</v>
      </c>
      <c r="AV50" s="151">
        <f t="shared" si="24"/>
        <v>4.4874538993313205E-15</v>
      </c>
      <c r="AW50" s="135">
        <f t="shared" si="25"/>
        <v>0.059979107625550955</v>
      </c>
      <c r="AX50" s="151">
        <f t="shared" si="26"/>
        <v>21.97859872784827</v>
      </c>
      <c r="AY50" s="136">
        <f t="shared" si="27"/>
        <v>1E-13</v>
      </c>
      <c r="AZ50" s="41"/>
      <c r="BA50" s="160">
        <f t="shared" si="11"/>
        <v>97.73786418676701</v>
      </c>
      <c r="BB50" s="161">
        <f t="shared" si="12"/>
        <v>96.33655974854958</v>
      </c>
    </row>
    <row r="51" spans="2:54" ht="12">
      <c r="B51" s="49">
        <v>575</v>
      </c>
      <c r="C51" s="50">
        <v>0.8425</v>
      </c>
      <c r="D51" s="50">
        <v>0.9154</v>
      </c>
      <c r="E51" s="51">
        <v>0.0018</v>
      </c>
      <c r="F51" s="50">
        <v>0.951162</v>
      </c>
      <c r="G51" s="51">
        <v>0.915175</v>
      </c>
      <c r="H51" s="50">
        <v>0</v>
      </c>
      <c r="I51" s="135">
        <f t="shared" si="7"/>
        <v>110.7987201459493</v>
      </c>
      <c r="J51" s="52">
        <v>101.9</v>
      </c>
      <c r="K51" s="53">
        <v>100.15</v>
      </c>
      <c r="L51" s="52">
        <f t="shared" si="38"/>
        <v>98.33118196087695</v>
      </c>
      <c r="M51" s="53">
        <v>100</v>
      </c>
      <c r="N51" s="53">
        <v>21.47</v>
      </c>
      <c r="O51" s="52">
        <v>15.46</v>
      </c>
      <c r="P51" s="53">
        <v>4.43</v>
      </c>
      <c r="Q51" s="42">
        <f t="shared" si="8"/>
        <v>100.2732668993824</v>
      </c>
      <c r="R51" s="53">
        <v>95.55</v>
      </c>
      <c r="S51" s="52">
        <v>-2.55</v>
      </c>
      <c r="T51" s="53">
        <v>0.35</v>
      </c>
      <c r="U51" s="67">
        <f>AVERAGE(U50,U52)</f>
        <v>4.9945</v>
      </c>
      <c r="V51" s="47">
        <v>-10</v>
      </c>
      <c r="W51" s="46">
        <v>-10</v>
      </c>
      <c r="X51" s="140">
        <f t="shared" si="0"/>
        <v>-4.182</v>
      </c>
      <c r="Y51" s="138">
        <f aca="true" t="shared" si="44" ref="Y51:AH51">AVERAGE(Y50,Y52)</f>
        <v>3.1875</v>
      </c>
      <c r="Z51" s="140">
        <f t="shared" si="37"/>
        <v>-10.334999999999999</v>
      </c>
      <c r="AA51" s="138">
        <f t="shared" si="44"/>
        <v>2.2155</v>
      </c>
      <c r="AB51" s="140">
        <f t="shared" si="44"/>
        <v>4.148</v>
      </c>
      <c r="AC51" s="138">
        <v>-10</v>
      </c>
      <c r="AD51" s="140">
        <f t="shared" si="3"/>
        <v>-9.591000000000001</v>
      </c>
      <c r="AE51" s="138">
        <f t="shared" si="44"/>
        <v>4.1865000000000006</v>
      </c>
      <c r="AF51" s="140">
        <f t="shared" si="40"/>
        <v>-12.447999999999999</v>
      </c>
      <c r="AG51" s="138">
        <f t="shared" si="44"/>
        <v>2.2155</v>
      </c>
      <c r="AH51" s="140">
        <f t="shared" si="44"/>
        <v>4.148</v>
      </c>
      <c r="AI51" s="142">
        <v>-10</v>
      </c>
      <c r="AJ51" s="46"/>
      <c r="AK51" s="149">
        <f t="shared" si="9"/>
        <v>98.74156357468674</v>
      </c>
      <c r="AL51" s="151">
        <f t="shared" si="14"/>
        <v>1E-13</v>
      </c>
      <c r="AM51" s="135">
        <f t="shared" si="15"/>
        <v>1E-13</v>
      </c>
      <c r="AN51" s="151">
        <f t="shared" si="16"/>
        <v>6.576578373554189E-08</v>
      </c>
      <c r="AO51" s="135">
        <f t="shared" si="17"/>
        <v>1.539926526059493</v>
      </c>
      <c r="AP51" s="151">
        <f t="shared" si="18"/>
        <v>4.6238102139925997E-14</v>
      </c>
      <c r="AQ51" s="135">
        <f t="shared" si="19"/>
        <v>0.16424796596746405</v>
      </c>
      <c r="AR51" s="151">
        <f t="shared" si="20"/>
        <v>14.060475241299137</v>
      </c>
      <c r="AS51" s="135">
        <f t="shared" si="21"/>
        <v>1E-13</v>
      </c>
      <c r="AT51" s="151">
        <f t="shared" si="22"/>
        <v>2.5644840365177043E-13</v>
      </c>
      <c r="AU51" s="135">
        <f t="shared" si="23"/>
        <v>15.36384793331601</v>
      </c>
      <c r="AV51" s="151">
        <f t="shared" si="24"/>
        <v>3.564511334262441E-16</v>
      </c>
      <c r="AW51" s="135">
        <f t="shared" si="25"/>
        <v>0.16424796596746405</v>
      </c>
      <c r="AX51" s="151">
        <f t="shared" si="26"/>
        <v>14.060475241299137</v>
      </c>
      <c r="AY51" s="136">
        <f t="shared" si="27"/>
        <v>1E-13</v>
      </c>
      <c r="AZ51" s="41"/>
      <c r="BA51" s="160">
        <f t="shared" si="11"/>
        <v>98.33118196087695</v>
      </c>
      <c r="BB51" s="161">
        <f t="shared" si="12"/>
        <v>96.06487690538961</v>
      </c>
    </row>
    <row r="52" spans="2:54" ht="12">
      <c r="B52" s="49">
        <v>580</v>
      </c>
      <c r="C52" s="50">
        <v>0.9163</v>
      </c>
      <c r="D52" s="50">
        <v>0.87</v>
      </c>
      <c r="E52" s="51">
        <v>0.001650001</v>
      </c>
      <c r="F52" s="50">
        <v>1.01416</v>
      </c>
      <c r="G52" s="51">
        <v>0.868934</v>
      </c>
      <c r="H52" s="50">
        <v>0</v>
      </c>
      <c r="I52" s="135">
        <f t="shared" si="7"/>
        <v>114.43030304266115</v>
      </c>
      <c r="J52" s="52">
        <v>101</v>
      </c>
      <c r="K52" s="53">
        <v>97.8</v>
      </c>
      <c r="L52" s="52">
        <f t="shared" si="38"/>
        <v>98.92449973498688</v>
      </c>
      <c r="M52" s="53">
        <v>100</v>
      </c>
      <c r="N52" s="53">
        <v>22.79</v>
      </c>
      <c r="O52" s="52">
        <v>16.75</v>
      </c>
      <c r="P52" s="53">
        <v>11.28</v>
      </c>
      <c r="Q52" s="42">
        <f t="shared" si="8"/>
        <v>100.2882549726011</v>
      </c>
      <c r="R52" s="53">
        <v>95.1</v>
      </c>
      <c r="S52" s="52">
        <v>-3.5</v>
      </c>
      <c r="T52" s="53">
        <v>0.5</v>
      </c>
      <c r="U52" s="67">
        <v>4.989</v>
      </c>
      <c r="V52" s="47">
        <v>-10</v>
      </c>
      <c r="W52" s="46">
        <v>-10</v>
      </c>
      <c r="X52" s="140">
        <f t="shared" si="0"/>
        <v>-2.8320000000000003</v>
      </c>
      <c r="Y52" s="138">
        <v>2.766</v>
      </c>
      <c r="Z52" s="140">
        <f t="shared" si="37"/>
        <v>-11.034999999999998</v>
      </c>
      <c r="AA52" s="138">
        <v>2.653</v>
      </c>
      <c r="AB52" s="140">
        <v>3.954</v>
      </c>
      <c r="AC52" s="138">
        <v>-10</v>
      </c>
      <c r="AD52" s="140">
        <f t="shared" si="3"/>
        <v>-8.291</v>
      </c>
      <c r="AE52" s="138">
        <v>3.915</v>
      </c>
      <c r="AF52" s="140">
        <f t="shared" si="40"/>
        <v>-13.547999999999998</v>
      </c>
      <c r="AG52" s="138">
        <v>2.653</v>
      </c>
      <c r="AH52" s="140">
        <v>3.954</v>
      </c>
      <c r="AI52" s="142">
        <v>-10</v>
      </c>
      <c r="AJ52" s="46"/>
      <c r="AK52" s="149">
        <f t="shared" si="9"/>
        <v>97.49896377173883</v>
      </c>
      <c r="AL52" s="151">
        <f t="shared" si="14"/>
        <v>1E-13</v>
      </c>
      <c r="AM52" s="135">
        <f t="shared" si="15"/>
        <v>1E-13</v>
      </c>
      <c r="AN52" s="151">
        <f t="shared" si="16"/>
        <v>1.4723125024327173E-06</v>
      </c>
      <c r="AO52" s="135">
        <f t="shared" si="17"/>
        <v>0.5834451042737453</v>
      </c>
      <c r="AP52" s="151">
        <f t="shared" si="18"/>
        <v>9.225714271547654E-15</v>
      </c>
      <c r="AQ52" s="135">
        <f t="shared" si="19"/>
        <v>0.4497798548932883</v>
      </c>
      <c r="AR52" s="151">
        <f t="shared" si="20"/>
        <v>8.994975815300357</v>
      </c>
      <c r="AS52" s="135">
        <f t="shared" si="21"/>
        <v>1E-13</v>
      </c>
      <c r="AT52" s="151">
        <f t="shared" si="22"/>
        <v>5.116818355403061E-12</v>
      </c>
      <c r="AU52" s="135">
        <f t="shared" si="23"/>
        <v>8.222426499470725</v>
      </c>
      <c r="AV52" s="151">
        <f t="shared" si="24"/>
        <v>2.8313919957993774E-17</v>
      </c>
      <c r="AW52" s="135">
        <f t="shared" si="25"/>
        <v>0.4497798548932883</v>
      </c>
      <c r="AX52" s="151">
        <f t="shared" si="26"/>
        <v>8.994975815300357</v>
      </c>
      <c r="AY52" s="136">
        <f t="shared" si="27"/>
        <v>1E-13</v>
      </c>
      <c r="AZ52" s="41"/>
      <c r="BA52" s="160">
        <f t="shared" si="11"/>
        <v>98.92449973498688</v>
      </c>
      <c r="BB52" s="161">
        <f t="shared" si="12"/>
        <v>95.79319406222965</v>
      </c>
    </row>
    <row r="53" spans="2:54" ht="12">
      <c r="B53" s="49">
        <v>585</v>
      </c>
      <c r="C53" s="50">
        <v>0.9786</v>
      </c>
      <c r="D53" s="50">
        <v>0.8163</v>
      </c>
      <c r="E53" s="51">
        <v>0.0014</v>
      </c>
      <c r="F53" s="50">
        <v>1.0743</v>
      </c>
      <c r="G53" s="51">
        <v>0.825623</v>
      </c>
      <c r="H53" s="50">
        <v>0</v>
      </c>
      <c r="I53" s="135">
        <f t="shared" si="7"/>
        <v>118.07238556906682</v>
      </c>
      <c r="J53" s="52">
        <v>100.07</v>
      </c>
      <c r="K53" s="53">
        <v>95.43</v>
      </c>
      <c r="L53" s="52">
        <f t="shared" si="38"/>
        <v>96.21789911334241</v>
      </c>
      <c r="M53" s="53">
        <v>100</v>
      </c>
      <c r="N53" s="53">
        <v>19.29</v>
      </c>
      <c r="O53" s="52">
        <v>12.83</v>
      </c>
      <c r="P53" s="53">
        <v>14.76</v>
      </c>
      <c r="Q53" s="42">
        <f t="shared" si="8"/>
        <v>100.26733479462548</v>
      </c>
      <c r="R53" s="53">
        <v>92.1</v>
      </c>
      <c r="S53" s="52">
        <v>-3.5</v>
      </c>
      <c r="T53" s="53">
        <v>1.3</v>
      </c>
      <c r="U53" s="67">
        <f>AVERAGE(U52,U54)</f>
        <v>4.9725</v>
      </c>
      <c r="V53" s="47">
        <v>-10</v>
      </c>
      <c r="W53" s="46">
        <v>-10</v>
      </c>
      <c r="X53" s="140">
        <f t="shared" si="0"/>
        <v>-1.4820000000000002</v>
      </c>
      <c r="Y53" s="138">
        <f aca="true" t="shared" si="45" ref="Y53:AH53">AVERAGE(Y52,Y54)</f>
        <v>2.1725</v>
      </c>
      <c r="Z53" s="140">
        <f t="shared" si="37"/>
        <v>-11.734999999999998</v>
      </c>
      <c r="AA53" s="138">
        <f t="shared" si="45"/>
        <v>3.5650000000000004</v>
      </c>
      <c r="AB53" s="140">
        <f t="shared" si="45"/>
        <v>3.676</v>
      </c>
      <c r="AC53" s="138">
        <v>-10</v>
      </c>
      <c r="AD53" s="140">
        <f t="shared" si="3"/>
        <v>-6.991</v>
      </c>
      <c r="AE53" s="138">
        <f t="shared" si="45"/>
        <v>3.5435</v>
      </c>
      <c r="AF53" s="140">
        <f t="shared" si="40"/>
        <v>-14.647999999999998</v>
      </c>
      <c r="AG53" s="138">
        <f t="shared" si="45"/>
        <v>3.5650000000000004</v>
      </c>
      <c r="AH53" s="140">
        <f t="shared" si="45"/>
        <v>3.676</v>
      </c>
      <c r="AI53" s="142">
        <v>-10</v>
      </c>
      <c r="AJ53" s="46"/>
      <c r="AK53" s="149">
        <f t="shared" si="9"/>
        <v>93.86420366721373</v>
      </c>
      <c r="AL53" s="151">
        <f t="shared" si="14"/>
        <v>1E-13</v>
      </c>
      <c r="AM53" s="135">
        <f t="shared" si="15"/>
        <v>1E-13</v>
      </c>
      <c r="AN53" s="151">
        <f t="shared" si="16"/>
        <v>3.2960971217745756E-05</v>
      </c>
      <c r="AO53" s="135">
        <f t="shared" si="17"/>
        <v>0.1487647374079503</v>
      </c>
      <c r="AP53" s="151">
        <f t="shared" si="18"/>
        <v>1.8407720014689597E-15</v>
      </c>
      <c r="AQ53" s="135">
        <f t="shared" si="19"/>
        <v>3.6728230049808523</v>
      </c>
      <c r="AR53" s="151">
        <f t="shared" si="20"/>
        <v>4.742419852602452</v>
      </c>
      <c r="AS53" s="135">
        <f t="shared" si="21"/>
        <v>1E-13</v>
      </c>
      <c r="AT53" s="151">
        <f t="shared" si="22"/>
        <v>1.0209394837076785E-10</v>
      </c>
      <c r="AU53" s="135">
        <f t="shared" si="23"/>
        <v>3.495425095985999</v>
      </c>
      <c r="AV53" s="151">
        <f t="shared" si="24"/>
        <v>2.2490546058357793E-18</v>
      </c>
      <c r="AW53" s="135">
        <f t="shared" si="25"/>
        <v>3.6728230049808523</v>
      </c>
      <c r="AX53" s="151">
        <f t="shared" si="26"/>
        <v>4.742419852602452</v>
      </c>
      <c r="AY53" s="136">
        <f t="shared" si="27"/>
        <v>1E-13</v>
      </c>
      <c r="AZ53" s="41"/>
      <c r="BA53" s="160">
        <f t="shared" si="11"/>
        <v>96.21789911334241</v>
      </c>
      <c r="BB53" s="161">
        <f t="shared" si="12"/>
        <v>92.2424050993811</v>
      </c>
    </row>
    <row r="54" spans="2:54" ht="12">
      <c r="B54" s="49">
        <v>590</v>
      </c>
      <c r="C54" s="50">
        <v>1.0263</v>
      </c>
      <c r="D54" s="50">
        <v>0.757</v>
      </c>
      <c r="E54" s="51">
        <v>0.0011</v>
      </c>
      <c r="F54" s="50">
        <v>1.11852</v>
      </c>
      <c r="G54" s="51">
        <v>0.777405</v>
      </c>
      <c r="H54" s="50">
        <v>0</v>
      </c>
      <c r="I54" s="135">
        <f t="shared" si="7"/>
        <v>121.72173495371513</v>
      </c>
      <c r="J54" s="52">
        <v>99.2</v>
      </c>
      <c r="K54" s="53">
        <v>93.2</v>
      </c>
      <c r="L54" s="52">
        <f t="shared" si="38"/>
        <v>93.51129849169794</v>
      </c>
      <c r="M54" s="53">
        <v>100</v>
      </c>
      <c r="N54" s="53">
        <v>18.66</v>
      </c>
      <c r="O54" s="52">
        <v>12.67</v>
      </c>
      <c r="P54" s="53">
        <v>12.73</v>
      </c>
      <c r="Q54" s="42">
        <f t="shared" si="8"/>
        <v>100.2117763057049</v>
      </c>
      <c r="R54" s="53">
        <v>89.1</v>
      </c>
      <c r="S54" s="52">
        <v>-3.5</v>
      </c>
      <c r="T54" s="53">
        <v>2.1</v>
      </c>
      <c r="U54" s="67">
        <v>4.956</v>
      </c>
      <c r="V54" s="47">
        <v>-10</v>
      </c>
      <c r="W54" s="46">
        <v>-10</v>
      </c>
      <c r="X54" s="140">
        <f>X55-1.35</f>
        <v>-0.13200000000000012</v>
      </c>
      <c r="Y54" s="138">
        <v>1.579</v>
      </c>
      <c r="Z54" s="140">
        <f t="shared" si="37"/>
        <v>-12.434999999999997</v>
      </c>
      <c r="AA54" s="138">
        <v>4.477</v>
      </c>
      <c r="AB54" s="140">
        <v>3.398</v>
      </c>
      <c r="AC54" s="138">
        <v>-10</v>
      </c>
      <c r="AD54" s="140">
        <f t="shared" si="3"/>
        <v>-5.691</v>
      </c>
      <c r="AE54" s="138">
        <v>3.172</v>
      </c>
      <c r="AF54" s="140">
        <f t="shared" si="40"/>
        <v>-15.747999999999998</v>
      </c>
      <c r="AG54" s="138">
        <v>4.477</v>
      </c>
      <c r="AH54" s="140">
        <v>3.398</v>
      </c>
      <c r="AI54" s="142">
        <v>-10</v>
      </c>
      <c r="AJ54" s="46"/>
      <c r="AK54" s="149">
        <f t="shared" si="9"/>
        <v>90.36494737223026</v>
      </c>
      <c r="AL54" s="151">
        <f t="shared" si="14"/>
        <v>1E-13</v>
      </c>
      <c r="AM54" s="135">
        <f t="shared" si="15"/>
        <v>1E-13</v>
      </c>
      <c r="AN54" s="151">
        <f t="shared" si="16"/>
        <v>0.0007379042301291007</v>
      </c>
      <c r="AO54" s="135">
        <f t="shared" si="17"/>
        <v>0.0379314984973682</v>
      </c>
      <c r="AP54" s="151">
        <f t="shared" si="18"/>
        <v>3.672823004980866E-16</v>
      </c>
      <c r="AQ54" s="135">
        <f t="shared" si="19"/>
        <v>29.991625189876547</v>
      </c>
      <c r="AR54" s="151">
        <f t="shared" si="20"/>
        <v>2.5003453616964335</v>
      </c>
      <c r="AS54" s="135">
        <f t="shared" si="21"/>
        <v>1E-13</v>
      </c>
      <c r="AT54" s="151">
        <f t="shared" si="22"/>
        <v>2.0370420777057153E-09</v>
      </c>
      <c r="AU54" s="135">
        <f t="shared" si="23"/>
        <v>1.485935642287009</v>
      </c>
      <c r="AV54" s="151">
        <f t="shared" si="24"/>
        <v>1.7864875748520554E-19</v>
      </c>
      <c r="AW54" s="135">
        <f t="shared" si="25"/>
        <v>29.991625189876547</v>
      </c>
      <c r="AX54" s="151">
        <f t="shared" si="26"/>
        <v>2.5003453616964335</v>
      </c>
      <c r="AY54" s="136">
        <f t="shared" si="27"/>
        <v>1E-13</v>
      </c>
      <c r="AZ54" s="41"/>
      <c r="BA54" s="160">
        <f t="shared" si="11"/>
        <v>93.51129849169794</v>
      </c>
      <c r="BB54" s="161">
        <f t="shared" si="12"/>
        <v>88.69161613653255</v>
      </c>
    </row>
    <row r="55" spans="2:54" ht="12">
      <c r="B55" s="58">
        <v>595</v>
      </c>
      <c r="C55" s="59">
        <v>1.0567</v>
      </c>
      <c r="D55" s="59">
        <v>0.6949</v>
      </c>
      <c r="E55" s="60">
        <v>0.001</v>
      </c>
      <c r="F55" s="59">
        <v>1.1343</v>
      </c>
      <c r="G55" s="60">
        <v>0.720353</v>
      </c>
      <c r="H55" s="59">
        <v>0</v>
      </c>
      <c r="I55" s="153">
        <f t="shared" si="7"/>
        <v>125.37517349506145</v>
      </c>
      <c r="J55" s="62">
        <v>98.44</v>
      </c>
      <c r="K55" s="63">
        <v>91.22</v>
      </c>
      <c r="L55" s="62">
        <f t="shared" si="38"/>
        <v>95.6093802477579</v>
      </c>
      <c r="M55" s="63">
        <v>100</v>
      </c>
      <c r="N55" s="63">
        <v>17.73</v>
      </c>
      <c r="O55" s="62">
        <v>12.45</v>
      </c>
      <c r="P55" s="63">
        <v>9.74</v>
      </c>
      <c r="Q55" s="61">
        <f t="shared" si="8"/>
        <v>100.12283605342594</v>
      </c>
      <c r="R55" s="63">
        <v>89.8</v>
      </c>
      <c r="S55" s="62">
        <v>-4.65</v>
      </c>
      <c r="T55" s="63">
        <v>2.65</v>
      </c>
      <c r="U55" s="80">
        <f>AVERAGE(U54,U56)</f>
        <v>4.929</v>
      </c>
      <c r="V55" s="65">
        <v>-10</v>
      </c>
      <c r="W55" s="66">
        <v>-10</v>
      </c>
      <c r="X55" s="143">
        <f>X56-1.35</f>
        <v>1.218</v>
      </c>
      <c r="Y55" s="144">
        <f>Y54-0.85</f>
        <v>0.729</v>
      </c>
      <c r="Z55" s="143">
        <f t="shared" si="37"/>
        <v>-13.134999999999996</v>
      </c>
      <c r="AA55" s="144">
        <f>AVERAGE(AA54,AA56)</f>
        <v>4.7385</v>
      </c>
      <c r="AB55" s="143">
        <f>AVERAGE(AB54,AB56)</f>
        <v>3.1215</v>
      </c>
      <c r="AC55" s="144">
        <v>-10</v>
      </c>
      <c r="AD55" s="143">
        <f t="shared" si="3"/>
        <v>-4.391</v>
      </c>
      <c r="AE55" s="144">
        <f>AVERAGE(AE54,AE56)</f>
        <v>2.7055</v>
      </c>
      <c r="AF55" s="143">
        <f t="shared" si="40"/>
        <v>-16.848</v>
      </c>
      <c r="AG55" s="144">
        <f>AVERAGE(AG54,AG56)</f>
        <v>4.7385</v>
      </c>
      <c r="AH55" s="143">
        <f>AVERAGE(AH54,AH56)</f>
        <v>3.1215</v>
      </c>
      <c r="AI55" s="145">
        <v>-10</v>
      </c>
      <c r="AJ55" s="46"/>
      <c r="AK55" s="152">
        <f t="shared" si="9"/>
        <v>84.91804750363154</v>
      </c>
      <c r="AL55" s="153">
        <f t="shared" si="14"/>
        <v>1E-13</v>
      </c>
      <c r="AM55" s="154">
        <f t="shared" si="15"/>
        <v>1E-13</v>
      </c>
      <c r="AN55" s="153">
        <f t="shared" si="16"/>
        <v>0.016519617982290152</v>
      </c>
      <c r="AO55" s="154">
        <f t="shared" si="17"/>
        <v>0.005357966575133417</v>
      </c>
      <c r="AP55" s="153">
        <f t="shared" si="18"/>
        <v>7.328245331389075E-17</v>
      </c>
      <c r="AQ55" s="154">
        <f t="shared" si="19"/>
        <v>54.7646100961895</v>
      </c>
      <c r="AR55" s="153">
        <f t="shared" si="20"/>
        <v>1.3228177080099368</v>
      </c>
      <c r="AS55" s="154">
        <f t="shared" si="21"/>
        <v>1E-13</v>
      </c>
      <c r="AT55" s="153">
        <f t="shared" si="22"/>
        <v>4.064433291652122E-08</v>
      </c>
      <c r="AU55" s="154">
        <f t="shared" si="23"/>
        <v>0.5075747390289017</v>
      </c>
      <c r="AV55" s="153">
        <f t="shared" si="24"/>
        <v>1.4190575216890905E-20</v>
      </c>
      <c r="AW55" s="154">
        <f t="shared" si="25"/>
        <v>54.7646100961895</v>
      </c>
      <c r="AX55" s="153">
        <f t="shared" si="26"/>
        <v>1.3228177080099368</v>
      </c>
      <c r="AY55" s="155">
        <f t="shared" si="27"/>
        <v>1E-13</v>
      </c>
      <c r="AZ55" s="41"/>
      <c r="BA55" s="162">
        <f t="shared" si="11"/>
        <v>95.6093802477579</v>
      </c>
      <c r="BB55" s="163">
        <f t="shared" si="12"/>
        <v>89.35382093560602</v>
      </c>
    </row>
    <row r="56" spans="2:54" ht="12">
      <c r="B56" s="49">
        <v>600</v>
      </c>
      <c r="C56" s="50">
        <v>1.0622</v>
      </c>
      <c r="D56" s="50">
        <v>0.631</v>
      </c>
      <c r="E56" s="51">
        <v>0.0008</v>
      </c>
      <c r="F56" s="50">
        <v>1.12399</v>
      </c>
      <c r="G56" s="51">
        <v>0.658341</v>
      </c>
      <c r="H56" s="50">
        <v>0</v>
      </c>
      <c r="I56" s="135">
        <f t="shared" si="7"/>
        <v>129.0295837755883</v>
      </c>
      <c r="J56" s="52">
        <v>98</v>
      </c>
      <c r="K56" s="53">
        <v>89.7</v>
      </c>
      <c r="L56" s="52">
        <f t="shared" si="38"/>
        <v>97.70746200381785</v>
      </c>
      <c r="M56" s="53">
        <v>100</v>
      </c>
      <c r="N56" s="53">
        <v>16.54</v>
      </c>
      <c r="O56" s="52">
        <v>12.19</v>
      </c>
      <c r="P56" s="53">
        <v>7.33</v>
      </c>
      <c r="Q56" s="42">
        <f t="shared" si="8"/>
        <v>100.0017552521127</v>
      </c>
      <c r="R56" s="53">
        <v>90.5</v>
      </c>
      <c r="S56" s="52">
        <v>-5.8</v>
      </c>
      <c r="T56" s="53">
        <v>3.2</v>
      </c>
      <c r="U56" s="67">
        <v>4.902</v>
      </c>
      <c r="V56" s="47">
        <v>-10</v>
      </c>
      <c r="W56" s="46">
        <v>-10</v>
      </c>
      <c r="X56" s="140">
        <v>2.568</v>
      </c>
      <c r="Y56" s="138">
        <f>Y55-0.85</f>
        <v>-0.121</v>
      </c>
      <c r="Z56" s="140">
        <f t="shared" si="37"/>
        <v>-13.834999999999996</v>
      </c>
      <c r="AA56" s="138">
        <v>5</v>
      </c>
      <c r="AB56" s="140">
        <v>2.845</v>
      </c>
      <c r="AC56" s="138">
        <v>-10</v>
      </c>
      <c r="AD56" s="140">
        <f t="shared" si="3"/>
        <v>-3.091</v>
      </c>
      <c r="AE56" s="138">
        <v>2.239</v>
      </c>
      <c r="AF56" s="140">
        <f t="shared" si="40"/>
        <v>-17.948</v>
      </c>
      <c r="AG56" s="138">
        <v>5</v>
      </c>
      <c r="AH56" s="140">
        <v>2.845</v>
      </c>
      <c r="AI56" s="142">
        <v>-10</v>
      </c>
      <c r="AJ56" s="46"/>
      <c r="AK56" s="149">
        <f t="shared" si="9"/>
        <v>79.79946872679773</v>
      </c>
      <c r="AL56" s="151">
        <f t="shared" si="14"/>
        <v>1E-13</v>
      </c>
      <c r="AM56" s="135">
        <f t="shared" si="15"/>
        <v>1E-13</v>
      </c>
      <c r="AN56" s="151">
        <f t="shared" si="16"/>
        <v>0.36982817978026644</v>
      </c>
      <c r="AO56" s="135">
        <f t="shared" si="17"/>
        <v>0.0007568328950209744</v>
      </c>
      <c r="AP56" s="151">
        <f t="shared" si="18"/>
        <v>1.4621771744567293E-17</v>
      </c>
      <c r="AQ56" s="135">
        <f t="shared" si="19"/>
        <v>100</v>
      </c>
      <c r="AR56" s="151">
        <f t="shared" si="20"/>
        <v>0.6998419960022744</v>
      </c>
      <c r="AS56" s="135">
        <f t="shared" si="21"/>
        <v>1E-13</v>
      </c>
      <c r="AT56" s="151">
        <f t="shared" si="22"/>
        <v>8.109610578538396E-07</v>
      </c>
      <c r="AU56" s="135">
        <f t="shared" si="23"/>
        <v>0.1733803997754138</v>
      </c>
      <c r="AV56" s="151">
        <f t="shared" si="24"/>
        <v>1.127197456175505E-21</v>
      </c>
      <c r="AW56" s="135">
        <f t="shared" si="25"/>
        <v>100</v>
      </c>
      <c r="AX56" s="151">
        <f t="shared" si="26"/>
        <v>0.6998419960022744</v>
      </c>
      <c r="AY56" s="136">
        <f t="shared" si="27"/>
        <v>1E-13</v>
      </c>
      <c r="AZ56" s="41"/>
      <c r="BA56" s="160">
        <f t="shared" si="11"/>
        <v>97.70746200381785</v>
      </c>
      <c r="BB56" s="161">
        <f t="shared" si="12"/>
        <v>90.0160257346795</v>
      </c>
    </row>
    <row r="57" spans="2:54" ht="12">
      <c r="B57" s="49">
        <v>605</v>
      </c>
      <c r="C57" s="50">
        <v>1.0456</v>
      </c>
      <c r="D57" s="50">
        <v>0.5668</v>
      </c>
      <c r="E57" s="51">
        <v>0.0006</v>
      </c>
      <c r="F57" s="50">
        <v>1.0891</v>
      </c>
      <c r="G57" s="51">
        <v>0.593878</v>
      </c>
      <c r="H57" s="50">
        <v>0</v>
      </c>
      <c r="I57" s="135">
        <f t="shared" si="7"/>
        <v>132.68191340759074</v>
      </c>
      <c r="J57" s="52">
        <v>98.08</v>
      </c>
      <c r="K57" s="53">
        <v>88.83</v>
      </c>
      <c r="L57" s="52">
        <f t="shared" si="38"/>
        <v>98.50072417884579</v>
      </c>
      <c r="M57" s="53">
        <v>100</v>
      </c>
      <c r="N57" s="53">
        <v>15.21</v>
      </c>
      <c r="O57" s="52">
        <v>11.89</v>
      </c>
      <c r="P57" s="53">
        <v>9.72</v>
      </c>
      <c r="Q57" s="42">
        <f t="shared" si="8"/>
        <v>99.8497580516281</v>
      </c>
      <c r="R57" s="53">
        <v>90.4</v>
      </c>
      <c r="S57" s="52">
        <v>-6.5</v>
      </c>
      <c r="T57" s="53">
        <v>3.65</v>
      </c>
      <c r="U57" s="67">
        <f>AVERAGE(U56,U58)</f>
        <v>4.8645</v>
      </c>
      <c r="V57" s="47">
        <v>-10</v>
      </c>
      <c r="W57" s="46">
        <v>-10</v>
      </c>
      <c r="X57" s="140">
        <f aca="true" t="shared" si="46" ref="X57:AH57">AVERAGE(X56,X58)</f>
        <v>3.6029999999999998</v>
      </c>
      <c r="Y57" s="138">
        <f aca="true" t="shared" si="47" ref="Y57:Y102">Y56-0.85</f>
        <v>-0.971</v>
      </c>
      <c r="Z57" s="140">
        <f t="shared" si="37"/>
        <v>-14.534999999999995</v>
      </c>
      <c r="AA57" s="138">
        <f t="shared" si="46"/>
        <v>4.9645</v>
      </c>
      <c r="AB57" s="140">
        <f t="shared" si="46"/>
        <v>2.3995</v>
      </c>
      <c r="AC57" s="138">
        <v>-10</v>
      </c>
      <c r="AD57" s="140">
        <f t="shared" si="3"/>
        <v>-1.7910000000000001</v>
      </c>
      <c r="AE57" s="138">
        <f t="shared" si="46"/>
        <v>1.6545</v>
      </c>
      <c r="AF57" s="140">
        <f t="shared" si="40"/>
        <v>-19.048000000000002</v>
      </c>
      <c r="AG57" s="138">
        <f t="shared" si="46"/>
        <v>4.9645</v>
      </c>
      <c r="AH57" s="140">
        <f t="shared" si="46"/>
        <v>2.3995</v>
      </c>
      <c r="AI57" s="142">
        <v>-10</v>
      </c>
      <c r="AJ57" s="46"/>
      <c r="AK57" s="149">
        <f t="shared" si="9"/>
        <v>73.19813231998074</v>
      </c>
      <c r="AL57" s="151">
        <f t="shared" si="14"/>
        <v>1E-13</v>
      </c>
      <c r="AM57" s="135">
        <f t="shared" si="15"/>
        <v>1E-13</v>
      </c>
      <c r="AN57" s="151">
        <f t="shared" si="16"/>
        <v>4.008667176273027</v>
      </c>
      <c r="AO57" s="135">
        <f t="shared" si="17"/>
        <v>0.00010690548792226575</v>
      </c>
      <c r="AP57" s="151">
        <f t="shared" si="18"/>
        <v>2.9174270140011986E-18</v>
      </c>
      <c r="AQ57" s="135">
        <f t="shared" si="19"/>
        <v>92.15098887349593</v>
      </c>
      <c r="AR57" s="151">
        <f t="shared" si="20"/>
        <v>0.2508996179465402</v>
      </c>
      <c r="AS57" s="135">
        <f t="shared" si="21"/>
        <v>1E-13</v>
      </c>
      <c r="AT57" s="151">
        <f t="shared" si="22"/>
        <v>1.618080037643065E-05</v>
      </c>
      <c r="AU57" s="135">
        <f t="shared" si="23"/>
        <v>0.0451336025340956</v>
      </c>
      <c r="AV57" s="151">
        <f t="shared" si="24"/>
        <v>8.953647655495863E-23</v>
      </c>
      <c r="AW57" s="135">
        <f t="shared" si="25"/>
        <v>92.15098887349593</v>
      </c>
      <c r="AX57" s="151">
        <f t="shared" si="26"/>
        <v>0.2508996179465402</v>
      </c>
      <c r="AY57" s="136">
        <f t="shared" si="27"/>
        <v>1E-13</v>
      </c>
      <c r="AZ57" s="41"/>
      <c r="BA57" s="160">
        <f t="shared" si="11"/>
        <v>98.50072417884579</v>
      </c>
      <c r="BB57" s="161">
        <f t="shared" si="12"/>
        <v>89.8136943758792</v>
      </c>
    </row>
    <row r="58" spans="2:54" ht="12">
      <c r="B58" s="49">
        <v>610</v>
      </c>
      <c r="C58" s="50">
        <v>1.0026</v>
      </c>
      <c r="D58" s="50">
        <v>0.503</v>
      </c>
      <c r="E58" s="51">
        <v>0.00034</v>
      </c>
      <c r="F58" s="50">
        <v>1.03048</v>
      </c>
      <c r="G58" s="51">
        <v>0.527963</v>
      </c>
      <c r="H58" s="50">
        <v>0</v>
      </c>
      <c r="I58" s="135">
        <f t="shared" si="7"/>
        <v>136.329179323375</v>
      </c>
      <c r="J58" s="52">
        <v>98.5</v>
      </c>
      <c r="K58" s="53">
        <v>88.4</v>
      </c>
      <c r="L58" s="52">
        <f t="shared" si="38"/>
        <v>99.29398635387369</v>
      </c>
      <c r="M58" s="53">
        <v>100</v>
      </c>
      <c r="N58" s="53">
        <v>13.8</v>
      </c>
      <c r="O58" s="52">
        <v>11.6</v>
      </c>
      <c r="P58" s="53">
        <v>55.27</v>
      </c>
      <c r="Q58" s="42">
        <f t="shared" si="8"/>
        <v>99.66805000215483</v>
      </c>
      <c r="R58" s="53">
        <v>90.3</v>
      </c>
      <c r="S58" s="52">
        <v>-7.2</v>
      </c>
      <c r="T58" s="53">
        <v>4.1</v>
      </c>
      <c r="U58" s="67">
        <v>4.827</v>
      </c>
      <c r="V58" s="47">
        <v>-10</v>
      </c>
      <c r="W58" s="46">
        <v>-10</v>
      </c>
      <c r="X58" s="140">
        <v>4.638</v>
      </c>
      <c r="Y58" s="138">
        <f t="shared" si="47"/>
        <v>-1.821</v>
      </c>
      <c r="Z58" s="140">
        <f t="shared" si="37"/>
        <v>-15.234999999999994</v>
      </c>
      <c r="AA58" s="138">
        <v>4.929</v>
      </c>
      <c r="AB58" s="140">
        <v>1.954</v>
      </c>
      <c r="AC58" s="138">
        <v>-10</v>
      </c>
      <c r="AD58" s="140">
        <f>AD59-1.3</f>
        <v>-0.4910000000000001</v>
      </c>
      <c r="AE58" s="138">
        <v>1.07</v>
      </c>
      <c r="AF58" s="140">
        <f t="shared" si="40"/>
        <v>-20.148000000000003</v>
      </c>
      <c r="AG58" s="138">
        <v>4.929</v>
      </c>
      <c r="AH58" s="140">
        <v>1.954</v>
      </c>
      <c r="AI58" s="142">
        <v>-10</v>
      </c>
      <c r="AJ58" s="46"/>
      <c r="AK58" s="149">
        <f t="shared" si="9"/>
        <v>67.14288529259534</v>
      </c>
      <c r="AL58" s="151">
        <f t="shared" si="14"/>
        <v>1E-13</v>
      </c>
      <c r="AM58" s="135">
        <f t="shared" si="15"/>
        <v>1E-13</v>
      </c>
      <c r="AN58" s="151">
        <f t="shared" si="16"/>
        <v>43.451022417157176</v>
      </c>
      <c r="AO58" s="135">
        <f t="shared" si="17"/>
        <v>1.510080154164148E-05</v>
      </c>
      <c r="AP58" s="151">
        <f t="shared" si="18"/>
        <v>5.821032177708775E-19</v>
      </c>
      <c r="AQ58" s="135">
        <f t="shared" si="19"/>
        <v>84.91804750363154</v>
      </c>
      <c r="AR58" s="151">
        <f t="shared" si="20"/>
        <v>0.08994975815300353</v>
      </c>
      <c r="AS58" s="135">
        <f t="shared" si="21"/>
        <v>1E-13</v>
      </c>
      <c r="AT58" s="151">
        <f t="shared" si="22"/>
        <v>0.0003228494121712634</v>
      </c>
      <c r="AU58" s="135">
        <f t="shared" si="23"/>
        <v>0.0117489755493953</v>
      </c>
      <c r="AV58" s="151">
        <f t="shared" si="24"/>
        <v>7.112135136533204E-24</v>
      </c>
      <c r="AW58" s="135">
        <f t="shared" si="25"/>
        <v>84.91804750363154</v>
      </c>
      <c r="AX58" s="151">
        <f t="shared" si="26"/>
        <v>0.08994975815300353</v>
      </c>
      <c r="AY58" s="136">
        <f t="shared" si="27"/>
        <v>1E-13</v>
      </c>
      <c r="AZ58" s="41"/>
      <c r="BA58" s="160">
        <f t="shared" si="11"/>
        <v>99.29398635387369</v>
      </c>
      <c r="BB58" s="161">
        <f t="shared" si="12"/>
        <v>89.61136301707887</v>
      </c>
    </row>
    <row r="59" spans="2:54" ht="12">
      <c r="B59" s="49">
        <v>615</v>
      </c>
      <c r="C59" s="50">
        <v>0.9384</v>
      </c>
      <c r="D59" s="50">
        <v>0.4412</v>
      </c>
      <c r="E59" s="51">
        <v>0.00024</v>
      </c>
      <c r="F59" s="50">
        <v>0.95074</v>
      </c>
      <c r="G59" s="51">
        <v>0.461834</v>
      </c>
      <c r="H59" s="50">
        <v>0</v>
      </c>
      <c r="I59" s="135">
        <f t="shared" si="7"/>
        <v>139.96847162391012</v>
      </c>
      <c r="J59" s="52">
        <v>99.06</v>
      </c>
      <c r="K59" s="53">
        <v>88.19</v>
      </c>
      <c r="L59" s="52">
        <f t="shared" si="38"/>
        <v>99.18223614545995</v>
      </c>
      <c r="M59" s="53">
        <v>100</v>
      </c>
      <c r="N59" s="53">
        <v>12.36</v>
      </c>
      <c r="O59" s="52">
        <v>11.35</v>
      </c>
      <c r="P59" s="53">
        <v>42.58</v>
      </c>
      <c r="Q59" s="42">
        <f t="shared" si="8"/>
        <v>99.45781670202923</v>
      </c>
      <c r="R59" s="53">
        <v>89.35</v>
      </c>
      <c r="S59" s="52">
        <v>-7.9</v>
      </c>
      <c r="T59" s="53">
        <v>4.4</v>
      </c>
      <c r="U59" s="67">
        <f>AVERAGE(U58,U60)</f>
        <v>4.779</v>
      </c>
      <c r="V59" s="47">
        <v>-10</v>
      </c>
      <c r="W59" s="46">
        <v>-10</v>
      </c>
      <c r="X59" s="140">
        <f>AVERAGE(X58,X60)</f>
        <v>4.819</v>
      </c>
      <c r="Y59" s="138">
        <f t="shared" si="47"/>
        <v>-2.671</v>
      </c>
      <c r="Z59" s="140">
        <f t="shared" si="37"/>
        <v>-15.934999999999993</v>
      </c>
      <c r="AA59" s="138">
        <f>AVERAGE(AA58,AA60)</f>
        <v>4.8345</v>
      </c>
      <c r="AB59" s="140">
        <f>AVERAGE(AB58,AB60)</f>
        <v>1.4769999999999999</v>
      </c>
      <c r="AC59" s="138">
        <v>-10</v>
      </c>
      <c r="AD59" s="140">
        <f>AD60-1.3</f>
        <v>0.8089999999999999</v>
      </c>
      <c r="AE59" s="138">
        <f>AE58-0.6</f>
        <v>0.4700000000000001</v>
      </c>
      <c r="AF59" s="140">
        <f t="shared" si="40"/>
        <v>-21.248000000000005</v>
      </c>
      <c r="AG59" s="138">
        <f>AVERAGE(AG58,AG60)</f>
        <v>4.8345</v>
      </c>
      <c r="AH59" s="140">
        <f>AVERAGE(AH58,AH60)</f>
        <v>1.4769999999999999</v>
      </c>
      <c r="AI59" s="142">
        <v>-10</v>
      </c>
      <c r="AJ59" s="46"/>
      <c r="AK59" s="149">
        <f t="shared" si="9"/>
        <v>60.1173737483279</v>
      </c>
      <c r="AL59" s="151">
        <f t="shared" si="14"/>
        <v>1E-13</v>
      </c>
      <c r="AM59" s="135">
        <f t="shared" si="15"/>
        <v>1E-13</v>
      </c>
      <c r="AN59" s="151">
        <f t="shared" si="16"/>
        <v>65.91738952443222</v>
      </c>
      <c r="AO59" s="135">
        <f t="shared" si="17"/>
        <v>2.1330449131465764E-06</v>
      </c>
      <c r="AP59" s="151">
        <f t="shared" si="18"/>
        <v>1.1614486138403547E-19</v>
      </c>
      <c r="AQ59" s="135">
        <f t="shared" si="19"/>
        <v>68.31247179792939</v>
      </c>
      <c r="AR59" s="151">
        <f t="shared" si="20"/>
        <v>0.029991625189876515</v>
      </c>
      <c r="AS59" s="135">
        <f t="shared" si="21"/>
        <v>1E-13</v>
      </c>
      <c r="AT59" s="151">
        <f t="shared" si="22"/>
        <v>0.006441692655151773</v>
      </c>
      <c r="AU59" s="135">
        <f t="shared" si="23"/>
        <v>0.002951209226666387</v>
      </c>
      <c r="AV59" s="151">
        <f t="shared" si="24"/>
        <v>5.6493697481229355E-25</v>
      </c>
      <c r="AW59" s="135">
        <f t="shared" si="25"/>
        <v>68.31247179792939</v>
      </c>
      <c r="AX59" s="151">
        <f t="shared" si="26"/>
        <v>0.029991625189876515</v>
      </c>
      <c r="AY59" s="136">
        <f t="shared" si="27"/>
        <v>1E-13</v>
      </c>
      <c r="AZ59" s="41"/>
      <c r="BA59" s="160">
        <f t="shared" si="11"/>
        <v>99.18223614545995</v>
      </c>
      <c r="BB59" s="161">
        <f t="shared" si="12"/>
        <v>88.66230458881266</v>
      </c>
    </row>
    <row r="60" spans="2:54" ht="12">
      <c r="B60" s="49">
        <v>620</v>
      </c>
      <c r="C60" s="50">
        <v>0.8544499</v>
      </c>
      <c r="D60" s="50">
        <v>0.381</v>
      </c>
      <c r="E60" s="51">
        <v>0.00019</v>
      </c>
      <c r="F60" s="50">
        <v>0.856297</v>
      </c>
      <c r="G60" s="51">
        <v>0.398057</v>
      </c>
      <c r="H60" s="50">
        <v>0</v>
      </c>
      <c r="I60" s="135">
        <f t="shared" si="7"/>
        <v>143.59695700104737</v>
      </c>
      <c r="J60" s="52">
        <v>99.7</v>
      </c>
      <c r="K60" s="53">
        <v>88.1</v>
      </c>
      <c r="L60" s="52">
        <f t="shared" si="38"/>
        <v>99.07048593704623</v>
      </c>
      <c r="M60" s="53">
        <v>100</v>
      </c>
      <c r="N60" s="53">
        <v>10.95</v>
      </c>
      <c r="O60" s="52">
        <v>11.12</v>
      </c>
      <c r="P60" s="53">
        <v>13.18</v>
      </c>
      <c r="Q60" s="42">
        <f t="shared" si="8"/>
        <v>99.22022261621325</v>
      </c>
      <c r="R60" s="53">
        <v>88.4</v>
      </c>
      <c r="S60" s="52">
        <v>-8.6</v>
      </c>
      <c r="T60" s="53">
        <v>4.7</v>
      </c>
      <c r="U60" s="67">
        <v>4.731</v>
      </c>
      <c r="V60" s="47">
        <v>-10</v>
      </c>
      <c r="W60" s="46">
        <v>-10</v>
      </c>
      <c r="X60" s="140">
        <v>5</v>
      </c>
      <c r="Y60" s="138">
        <f t="shared" si="47"/>
        <v>-3.521</v>
      </c>
      <c r="Z60" s="140">
        <f t="shared" si="37"/>
        <v>-16.634999999999994</v>
      </c>
      <c r="AA60" s="138">
        <v>4.74</v>
      </c>
      <c r="AB60" s="140">
        <v>1</v>
      </c>
      <c r="AC60" s="138">
        <v>-10</v>
      </c>
      <c r="AD60" s="140">
        <v>2.109</v>
      </c>
      <c r="AE60" s="138">
        <f>AE59-0.6</f>
        <v>-0.1299999999999999</v>
      </c>
      <c r="AF60" s="140">
        <f t="shared" si="40"/>
        <v>-22.348000000000006</v>
      </c>
      <c r="AG60" s="138">
        <v>4.74</v>
      </c>
      <c r="AH60" s="140">
        <v>1</v>
      </c>
      <c r="AI60" s="142">
        <v>-10</v>
      </c>
      <c r="AJ60" s="46"/>
      <c r="AK60" s="149">
        <f t="shared" si="9"/>
        <v>53.82697825162882</v>
      </c>
      <c r="AL60" s="151">
        <f t="shared" si="14"/>
        <v>1E-13</v>
      </c>
      <c r="AM60" s="135">
        <f t="shared" si="15"/>
        <v>1E-13</v>
      </c>
      <c r="AN60" s="151">
        <f t="shared" si="16"/>
        <v>100</v>
      </c>
      <c r="AO60" s="135">
        <f t="shared" si="17"/>
        <v>3.013006024186119E-07</v>
      </c>
      <c r="AP60" s="151">
        <f t="shared" si="18"/>
        <v>2.317394649968501E-20</v>
      </c>
      <c r="AQ60" s="135">
        <f t="shared" si="19"/>
        <v>54.954087385762506</v>
      </c>
      <c r="AR60" s="151">
        <f t="shared" si="20"/>
        <v>0.01</v>
      </c>
      <c r="AS60" s="135">
        <f t="shared" si="21"/>
        <v>1E-13</v>
      </c>
      <c r="AT60" s="151">
        <f t="shared" si="22"/>
        <v>0.1285286659943616</v>
      </c>
      <c r="AU60" s="135">
        <f t="shared" si="23"/>
        <v>0.0007413102413009177</v>
      </c>
      <c r="AV60" s="151">
        <f t="shared" si="24"/>
        <v>4.487453899331234E-26</v>
      </c>
      <c r="AW60" s="135">
        <f t="shared" si="25"/>
        <v>54.954087385762506</v>
      </c>
      <c r="AX60" s="151">
        <f t="shared" si="26"/>
        <v>0.01</v>
      </c>
      <c r="AY60" s="136">
        <f t="shared" si="27"/>
        <v>1E-13</v>
      </c>
      <c r="AZ60" s="41"/>
      <c r="BA60" s="160">
        <f t="shared" si="11"/>
        <v>99.07048593704623</v>
      </c>
      <c r="BB60" s="161">
        <f t="shared" si="12"/>
        <v>87.71324616054648</v>
      </c>
    </row>
    <row r="61" spans="2:54" ht="12">
      <c r="B61" s="49">
        <v>625</v>
      </c>
      <c r="C61" s="50">
        <v>0.7514</v>
      </c>
      <c r="D61" s="50">
        <v>0.321</v>
      </c>
      <c r="E61" s="51">
        <v>0.0001</v>
      </c>
      <c r="F61" s="50">
        <v>0.75493</v>
      </c>
      <c r="G61" s="51">
        <v>0.339554</v>
      </c>
      <c r="H61" s="50">
        <v>0</v>
      </c>
      <c r="I61" s="135">
        <f t="shared" si="7"/>
        <v>147.2118817493048</v>
      </c>
      <c r="J61" s="52">
        <v>100.36</v>
      </c>
      <c r="K61" s="53">
        <v>88.06</v>
      </c>
      <c r="L61" s="52">
        <f t="shared" si="38"/>
        <v>97.4119804403727</v>
      </c>
      <c r="M61" s="53">
        <v>100</v>
      </c>
      <c r="N61" s="53">
        <v>9.65</v>
      </c>
      <c r="O61" s="52">
        <v>10.95</v>
      </c>
      <c r="P61" s="53">
        <v>13.16</v>
      </c>
      <c r="Q61" s="42">
        <f t="shared" si="8"/>
        <v>98.95641005352196</v>
      </c>
      <c r="R61" s="53">
        <v>86.2</v>
      </c>
      <c r="S61" s="52">
        <v>-9.05</v>
      </c>
      <c r="T61" s="53">
        <v>4.9</v>
      </c>
      <c r="U61" s="67">
        <f>AVERAGE(U60,U62)</f>
        <v>4.662</v>
      </c>
      <c r="V61" s="47">
        <v>-10</v>
      </c>
      <c r="W61" s="46">
        <v>-10</v>
      </c>
      <c r="X61" s="140">
        <f aca="true" t="shared" si="48" ref="X61:AH61">AVERAGE(X60,X62)</f>
        <v>4.9355</v>
      </c>
      <c r="Y61" s="138">
        <f t="shared" si="47"/>
        <v>-4.3709999999999996</v>
      </c>
      <c r="Z61" s="140">
        <f t="shared" si="37"/>
        <v>-17.334999999999994</v>
      </c>
      <c r="AA61" s="138">
        <f t="shared" si="48"/>
        <v>4.569</v>
      </c>
      <c r="AB61" s="140">
        <f t="shared" si="48"/>
        <v>-4.5</v>
      </c>
      <c r="AC61" s="138">
        <v>-10</v>
      </c>
      <c r="AD61" s="140">
        <f t="shared" si="48"/>
        <v>3.294</v>
      </c>
      <c r="AE61" s="138">
        <f aca="true" t="shared" si="49" ref="AE61:AE102">AE60-0.6</f>
        <v>-0.7299999999999999</v>
      </c>
      <c r="AF61" s="140">
        <f t="shared" si="40"/>
        <v>-23.448000000000008</v>
      </c>
      <c r="AG61" s="138">
        <f t="shared" si="48"/>
        <v>4.569</v>
      </c>
      <c r="AH61" s="140">
        <f t="shared" si="48"/>
        <v>0.5</v>
      </c>
      <c r="AI61" s="142">
        <v>-10</v>
      </c>
      <c r="AJ61" s="46"/>
      <c r="AK61" s="149">
        <f t="shared" si="9"/>
        <v>45.919801283686915</v>
      </c>
      <c r="AL61" s="151">
        <f t="shared" si="14"/>
        <v>1E-13</v>
      </c>
      <c r="AM61" s="135">
        <f t="shared" si="15"/>
        <v>1E-13</v>
      </c>
      <c r="AN61" s="151">
        <f t="shared" si="16"/>
        <v>86.19855787057595</v>
      </c>
      <c r="AO61" s="135">
        <f t="shared" si="17"/>
        <v>4.2559841313374315E-08</v>
      </c>
      <c r="AP61" s="151">
        <f t="shared" si="18"/>
        <v>4.623810213992646E-21</v>
      </c>
      <c r="AQ61" s="135">
        <f t="shared" si="19"/>
        <v>37.0680721782576</v>
      </c>
      <c r="AR61" s="151">
        <f t="shared" si="20"/>
        <v>3.1622776601683746E-08</v>
      </c>
      <c r="AS61" s="135">
        <f t="shared" si="21"/>
        <v>1E-13</v>
      </c>
      <c r="AT61" s="151">
        <f t="shared" si="22"/>
        <v>1.967886289706846</v>
      </c>
      <c r="AU61" s="135">
        <f t="shared" si="23"/>
        <v>0.00018620871366628678</v>
      </c>
      <c r="AV61" s="151">
        <f t="shared" si="24"/>
        <v>3.5645113342623594E-27</v>
      </c>
      <c r="AW61" s="135">
        <f t="shared" si="25"/>
        <v>37.0680721782576</v>
      </c>
      <c r="AX61" s="151">
        <f t="shared" si="26"/>
        <v>0.0031622776601683794</v>
      </c>
      <c r="AY61" s="136">
        <f t="shared" si="27"/>
        <v>1E-13</v>
      </c>
      <c r="AZ61" s="41"/>
      <c r="BA61" s="160">
        <f t="shared" si="11"/>
        <v>97.4119804403727</v>
      </c>
      <c r="BB61" s="161">
        <f t="shared" si="12"/>
        <v>85.5089336980642</v>
      </c>
    </row>
    <row r="62" spans="2:54" ht="12">
      <c r="B62" s="49">
        <v>630</v>
      </c>
      <c r="C62" s="50">
        <v>0.6424</v>
      </c>
      <c r="D62" s="50">
        <v>0.265</v>
      </c>
      <c r="E62" s="51">
        <v>4.999999E-05</v>
      </c>
      <c r="F62" s="50">
        <v>0.647467</v>
      </c>
      <c r="G62" s="51">
        <v>0.283493</v>
      </c>
      <c r="H62" s="50">
        <v>0</v>
      </c>
      <c r="I62" s="135">
        <f t="shared" si="7"/>
        <v>150.81057438389774</v>
      </c>
      <c r="J62" s="52">
        <v>101</v>
      </c>
      <c r="K62" s="53">
        <v>88</v>
      </c>
      <c r="L62" s="52">
        <f t="shared" si="38"/>
        <v>95.75347494369919</v>
      </c>
      <c r="M62" s="53">
        <v>100</v>
      </c>
      <c r="N62" s="53">
        <v>8.4</v>
      </c>
      <c r="O62" s="52">
        <v>10.76</v>
      </c>
      <c r="P62" s="53">
        <v>12.26</v>
      </c>
      <c r="Q62" s="42">
        <f t="shared" si="8"/>
        <v>98.66749829125665</v>
      </c>
      <c r="R62" s="53">
        <v>84</v>
      </c>
      <c r="S62" s="52">
        <v>-9.5</v>
      </c>
      <c r="T62" s="53">
        <v>5.1</v>
      </c>
      <c r="U62" s="67">
        <v>4.593</v>
      </c>
      <c r="V62" s="47">
        <v>-10</v>
      </c>
      <c r="W62" s="46">
        <v>-10</v>
      </c>
      <c r="X62" s="140">
        <v>4.871</v>
      </c>
      <c r="Y62" s="138">
        <f t="shared" si="47"/>
        <v>-5.220999999999999</v>
      </c>
      <c r="Z62" s="140">
        <f t="shared" si="37"/>
        <v>-18.034999999999993</v>
      </c>
      <c r="AA62" s="138">
        <v>4.398</v>
      </c>
      <c r="AB62" s="140">
        <v>-10</v>
      </c>
      <c r="AC62" s="138">
        <v>-10</v>
      </c>
      <c r="AD62" s="140">
        <v>4.479</v>
      </c>
      <c r="AE62" s="138">
        <f t="shared" si="49"/>
        <v>-1.3299999999999998</v>
      </c>
      <c r="AF62" s="140">
        <f t="shared" si="40"/>
        <v>-24.54800000000001</v>
      </c>
      <c r="AG62" s="138">
        <v>4.398</v>
      </c>
      <c r="AH62" s="140">
        <v>0</v>
      </c>
      <c r="AI62" s="142">
        <v>-10</v>
      </c>
      <c r="AJ62" s="46"/>
      <c r="AK62" s="149">
        <f t="shared" si="9"/>
        <v>39.17418771077834</v>
      </c>
      <c r="AL62" s="151">
        <f t="shared" si="14"/>
        <v>1E-13</v>
      </c>
      <c r="AM62" s="135">
        <f t="shared" si="15"/>
        <v>1E-13</v>
      </c>
      <c r="AN62" s="151">
        <f t="shared" si="16"/>
        <v>74.30191378967031</v>
      </c>
      <c r="AO62" s="135">
        <f t="shared" si="17"/>
        <v>6.0117373748327885E-09</v>
      </c>
      <c r="AP62" s="151">
        <f t="shared" si="18"/>
        <v>9.225714271547712E-22</v>
      </c>
      <c r="AQ62" s="135">
        <f t="shared" si="19"/>
        <v>25.003453616964336</v>
      </c>
      <c r="AR62" s="151">
        <f t="shared" si="20"/>
        <v>1E-13</v>
      </c>
      <c r="AS62" s="135">
        <f t="shared" si="21"/>
        <v>1E-13</v>
      </c>
      <c r="AT62" s="151">
        <f t="shared" si="22"/>
        <v>30.13006024186124</v>
      </c>
      <c r="AU62" s="135">
        <f t="shared" si="23"/>
        <v>4.677351412871983E-05</v>
      </c>
      <c r="AV62" s="151">
        <f t="shared" si="24"/>
        <v>2.831391995799303E-28</v>
      </c>
      <c r="AW62" s="135">
        <f t="shared" si="25"/>
        <v>25.003453616964336</v>
      </c>
      <c r="AX62" s="151">
        <f t="shared" si="26"/>
        <v>0.001</v>
      </c>
      <c r="AY62" s="136">
        <f t="shared" si="27"/>
        <v>1E-13</v>
      </c>
      <c r="AZ62" s="41"/>
      <c r="BA62" s="160">
        <f t="shared" si="11"/>
        <v>95.75347494369919</v>
      </c>
      <c r="BB62" s="161">
        <f t="shared" si="12"/>
        <v>83.3046212355819</v>
      </c>
    </row>
    <row r="63" spans="2:54" ht="12">
      <c r="B63" s="49">
        <v>635</v>
      </c>
      <c r="C63" s="50">
        <v>0.5419</v>
      </c>
      <c r="D63" s="50">
        <v>0.217</v>
      </c>
      <c r="E63" s="51">
        <v>3E-05</v>
      </c>
      <c r="F63" s="50">
        <v>0.53511</v>
      </c>
      <c r="G63" s="51">
        <v>0.228254</v>
      </c>
      <c r="H63" s="50">
        <v>0</v>
      </c>
      <c r="I63" s="135">
        <f t="shared" si="7"/>
        <v>154.39044788222282</v>
      </c>
      <c r="J63" s="52">
        <v>101.56</v>
      </c>
      <c r="K63" s="53">
        <v>87.86</v>
      </c>
      <c r="L63" s="52">
        <f t="shared" si="38"/>
        <v>97.32509934675764</v>
      </c>
      <c r="M63" s="53">
        <v>100</v>
      </c>
      <c r="N63" s="53">
        <v>7.32</v>
      </c>
      <c r="O63" s="52">
        <v>10.42</v>
      </c>
      <c r="P63" s="53">
        <v>5.11</v>
      </c>
      <c r="Q63" s="42">
        <f t="shared" si="8"/>
        <v>98.35458283642797</v>
      </c>
      <c r="R63" s="53">
        <v>84.55</v>
      </c>
      <c r="S63" s="52">
        <v>-10.2</v>
      </c>
      <c r="T63" s="53">
        <v>5.9</v>
      </c>
      <c r="U63" s="67">
        <f>AVERAGE(U62,U64)</f>
        <v>4.513</v>
      </c>
      <c r="V63" s="47">
        <v>-10</v>
      </c>
      <c r="W63" s="46">
        <v>-10</v>
      </c>
      <c r="X63" s="140">
        <f>AVERAGE(X62,X64)</f>
        <v>4.737500000000001</v>
      </c>
      <c r="Y63" s="138">
        <f t="shared" si="47"/>
        <v>-6.070999999999999</v>
      </c>
      <c r="Z63" s="140">
        <f t="shared" si="37"/>
        <v>-18.734999999999992</v>
      </c>
      <c r="AA63" s="138">
        <f>AVERAGE(AA62,AA64)</f>
        <v>4.199</v>
      </c>
      <c r="AB63" s="140">
        <v>-10</v>
      </c>
      <c r="AC63" s="138">
        <v>-10</v>
      </c>
      <c r="AD63" s="140">
        <f>AVERAGE(AD62,AD64)</f>
        <v>4.7395</v>
      </c>
      <c r="AE63" s="138">
        <f t="shared" si="49"/>
        <v>-1.9299999999999997</v>
      </c>
      <c r="AF63" s="140">
        <f t="shared" si="40"/>
        <v>-25.64800000000001</v>
      </c>
      <c r="AG63" s="138">
        <f>AVERAGE(AG62,AG64)</f>
        <v>4.199</v>
      </c>
      <c r="AH63" s="140">
        <v>-10</v>
      </c>
      <c r="AI63" s="142">
        <v>-10</v>
      </c>
      <c r="AJ63" s="46"/>
      <c r="AK63" s="149">
        <f t="shared" si="9"/>
        <v>32.58367010020088</v>
      </c>
      <c r="AL63" s="151">
        <f t="shared" si="14"/>
        <v>1E-13</v>
      </c>
      <c r="AM63" s="135">
        <f t="shared" si="15"/>
        <v>1E-13</v>
      </c>
      <c r="AN63" s="151">
        <f t="shared" si="16"/>
        <v>54.63865498818557</v>
      </c>
      <c r="AO63" s="135">
        <f t="shared" si="17"/>
        <v>8.491804750363157E-10</v>
      </c>
      <c r="AP63" s="151">
        <f t="shared" si="18"/>
        <v>1.840772001468984E-22</v>
      </c>
      <c r="AQ63" s="135">
        <f t="shared" si="19"/>
        <v>15.812480392703831</v>
      </c>
      <c r="AR63" s="151">
        <f t="shared" si="20"/>
        <v>1E-13</v>
      </c>
      <c r="AS63" s="135">
        <f t="shared" si="21"/>
        <v>1E-13</v>
      </c>
      <c r="AT63" s="151">
        <f t="shared" si="22"/>
        <v>54.89085556070451</v>
      </c>
      <c r="AU63" s="135">
        <f t="shared" si="23"/>
        <v>1.1748975549395304E-05</v>
      </c>
      <c r="AV63" s="151">
        <f t="shared" si="24"/>
        <v>2.249054605835712E-29</v>
      </c>
      <c r="AW63" s="135">
        <f t="shared" si="25"/>
        <v>15.812480392703831</v>
      </c>
      <c r="AX63" s="151">
        <f t="shared" si="26"/>
        <v>1E-13</v>
      </c>
      <c r="AY63" s="136">
        <f t="shared" si="27"/>
        <v>1E-13</v>
      </c>
      <c r="AZ63" s="41"/>
      <c r="BA63" s="160">
        <f t="shared" si="11"/>
        <v>97.32509934675764</v>
      </c>
      <c r="BB63" s="161">
        <f t="shared" si="12"/>
        <v>83.51131970553534</v>
      </c>
    </row>
    <row r="64" spans="2:54" ht="12">
      <c r="B64" s="49">
        <v>640</v>
      </c>
      <c r="C64" s="50">
        <v>0.4479</v>
      </c>
      <c r="D64" s="50">
        <v>0.175</v>
      </c>
      <c r="E64" s="51">
        <v>2E-05</v>
      </c>
      <c r="F64" s="50">
        <v>0.431567</v>
      </c>
      <c r="G64" s="51">
        <v>0.179828</v>
      </c>
      <c r="H64" s="50">
        <v>0</v>
      </c>
      <c r="I64" s="135">
        <f t="shared" si="7"/>
        <v>157.94900156636507</v>
      </c>
      <c r="J64" s="52">
        <v>102.2</v>
      </c>
      <c r="K64" s="53">
        <v>87.8</v>
      </c>
      <c r="L64" s="52">
        <f t="shared" si="38"/>
        <v>98.8967237498161</v>
      </c>
      <c r="M64" s="53">
        <v>100</v>
      </c>
      <c r="N64" s="53">
        <v>6.31</v>
      </c>
      <c r="O64" s="52">
        <v>10.11</v>
      </c>
      <c r="P64" s="53">
        <v>2.07</v>
      </c>
      <c r="Q64" s="42">
        <f t="shared" si="8"/>
        <v>98.01873481329218</v>
      </c>
      <c r="R64" s="53">
        <v>85.1</v>
      </c>
      <c r="S64" s="52">
        <v>-10.9</v>
      </c>
      <c r="T64" s="53">
        <v>6.7</v>
      </c>
      <c r="U64" s="67">
        <v>4.433</v>
      </c>
      <c r="V64" s="47">
        <v>-10</v>
      </c>
      <c r="W64" s="46">
        <v>-10</v>
      </c>
      <c r="X64" s="140">
        <v>4.604</v>
      </c>
      <c r="Y64" s="138">
        <f t="shared" si="47"/>
        <v>-6.9209999999999985</v>
      </c>
      <c r="Z64" s="140">
        <f t="shared" si="37"/>
        <v>-19.43499999999999</v>
      </c>
      <c r="AA64" s="138">
        <v>4</v>
      </c>
      <c r="AB64" s="140">
        <v>-10</v>
      </c>
      <c r="AC64" s="138">
        <v>-10</v>
      </c>
      <c r="AD64" s="140">
        <v>5</v>
      </c>
      <c r="AE64" s="138">
        <f t="shared" si="49"/>
        <v>-2.53</v>
      </c>
      <c r="AF64" s="140">
        <f t="shared" si="40"/>
        <v>-26.74800000000001</v>
      </c>
      <c r="AG64" s="138">
        <v>4</v>
      </c>
      <c r="AH64" s="140">
        <v>-10</v>
      </c>
      <c r="AI64" s="142">
        <v>-10</v>
      </c>
      <c r="AJ64" s="46"/>
      <c r="AK64" s="149">
        <f t="shared" si="9"/>
        <v>27.101916318908447</v>
      </c>
      <c r="AL64" s="151">
        <f t="shared" si="14"/>
        <v>1E-13</v>
      </c>
      <c r="AM64" s="135">
        <f t="shared" si="15"/>
        <v>1E-13</v>
      </c>
      <c r="AN64" s="151">
        <f t="shared" si="16"/>
        <v>40.17908108489405</v>
      </c>
      <c r="AO64" s="135">
        <f t="shared" si="17"/>
        <v>1.1994993031493807E-10</v>
      </c>
      <c r="AP64" s="151">
        <f t="shared" si="18"/>
        <v>3.6728230049809023E-23</v>
      </c>
      <c r="AQ64" s="135">
        <f t="shared" si="19"/>
        <v>10</v>
      </c>
      <c r="AR64" s="151">
        <f t="shared" si="20"/>
        <v>1E-13</v>
      </c>
      <c r="AS64" s="135">
        <f t="shared" si="21"/>
        <v>1E-13</v>
      </c>
      <c r="AT64" s="151">
        <f t="shared" si="22"/>
        <v>100</v>
      </c>
      <c r="AU64" s="135">
        <f t="shared" si="23"/>
        <v>2.9512092266663862E-06</v>
      </c>
      <c r="AV64" s="151">
        <f t="shared" si="24"/>
        <v>1.7864875748519893E-30</v>
      </c>
      <c r="AW64" s="135">
        <f t="shared" si="25"/>
        <v>10</v>
      </c>
      <c r="AX64" s="151">
        <f t="shared" si="26"/>
        <v>1E-13</v>
      </c>
      <c r="AY64" s="136">
        <f t="shared" si="27"/>
        <v>1E-13</v>
      </c>
      <c r="AZ64" s="41"/>
      <c r="BA64" s="160">
        <f t="shared" si="11"/>
        <v>98.8967237498161</v>
      </c>
      <c r="BB64" s="161">
        <f t="shared" si="12"/>
        <v>83.71801817548881</v>
      </c>
    </row>
    <row r="65" spans="2:54" ht="12">
      <c r="B65" s="49">
        <v>645</v>
      </c>
      <c r="C65" s="50">
        <v>0.3608</v>
      </c>
      <c r="D65" s="50">
        <v>0.1382</v>
      </c>
      <c r="E65" s="51">
        <v>1E-05</v>
      </c>
      <c r="F65" s="50">
        <v>0.34369</v>
      </c>
      <c r="G65" s="51">
        <v>0.140211</v>
      </c>
      <c r="H65" s="50">
        <v>0</v>
      </c>
      <c r="I65" s="135">
        <f t="shared" si="7"/>
        <v>161.4838226444277</v>
      </c>
      <c r="J65" s="52">
        <v>103.05</v>
      </c>
      <c r="K65" s="53">
        <v>87.99</v>
      </c>
      <c r="L65" s="52">
        <f t="shared" si="38"/>
        <v>97.3027163703133</v>
      </c>
      <c r="M65" s="53">
        <v>100</v>
      </c>
      <c r="N65" s="53">
        <v>5.43</v>
      </c>
      <c r="O65" s="52">
        <v>10.04</v>
      </c>
      <c r="P65" s="53">
        <v>2.34</v>
      </c>
      <c r="Q65" s="42">
        <f t="shared" si="8"/>
        <v>97.66100046745001</v>
      </c>
      <c r="R65" s="53">
        <v>83.5</v>
      </c>
      <c r="S65" s="52">
        <v>-10.8</v>
      </c>
      <c r="T65" s="53">
        <v>7</v>
      </c>
      <c r="U65" s="67">
        <f>AVERAGE(U64,U66)</f>
        <v>4.3355</v>
      </c>
      <c r="V65" s="47">
        <v>-10</v>
      </c>
      <c r="W65" s="46">
        <v>-10</v>
      </c>
      <c r="X65" s="140">
        <f>AVERAGE(X64,X66)</f>
        <v>4.445</v>
      </c>
      <c r="Y65" s="138">
        <f t="shared" si="47"/>
        <v>-7.770999999999998</v>
      </c>
      <c r="Z65" s="140">
        <f t="shared" si="37"/>
        <v>-20.13499999999999</v>
      </c>
      <c r="AA65" s="138">
        <f>AVERAGE(AA64,AA66)</f>
        <v>3.8495</v>
      </c>
      <c r="AB65" s="140">
        <v>-10</v>
      </c>
      <c r="AC65" s="138">
        <v>-10</v>
      </c>
      <c r="AD65" s="140">
        <f>AVERAGE(AD64,AD66)</f>
        <v>4.9495000000000005</v>
      </c>
      <c r="AE65" s="138">
        <f t="shared" si="49"/>
        <v>-3.13</v>
      </c>
      <c r="AF65" s="140">
        <f t="shared" si="40"/>
        <v>-27.848000000000013</v>
      </c>
      <c r="AG65" s="138">
        <f>AVERAGE(AG64,AG66)</f>
        <v>3.8495</v>
      </c>
      <c r="AH65" s="140">
        <v>-10</v>
      </c>
      <c r="AI65" s="142">
        <v>-10</v>
      </c>
      <c r="AJ65" s="46"/>
      <c r="AK65" s="149">
        <f t="shared" si="9"/>
        <v>21.652098793079276</v>
      </c>
      <c r="AL65" s="151">
        <f t="shared" si="14"/>
        <v>1E-13</v>
      </c>
      <c r="AM65" s="135">
        <f t="shared" si="15"/>
        <v>1E-13</v>
      </c>
      <c r="AN65" s="151">
        <f t="shared" si="16"/>
        <v>27.861211686297757</v>
      </c>
      <c r="AO65" s="135">
        <f t="shared" si="17"/>
        <v>1.6943378004473325E-11</v>
      </c>
      <c r="AP65" s="151">
        <f t="shared" si="18"/>
        <v>7.328245331389148E-24</v>
      </c>
      <c r="AQ65" s="135">
        <f t="shared" si="19"/>
        <v>7.071312006813012</v>
      </c>
      <c r="AR65" s="151">
        <f t="shared" si="20"/>
        <v>1E-13</v>
      </c>
      <c r="AS65" s="135">
        <f t="shared" si="21"/>
        <v>1E-13</v>
      </c>
      <c r="AT65" s="151">
        <f t="shared" si="22"/>
        <v>89.02254380102127</v>
      </c>
      <c r="AU65" s="135">
        <f t="shared" si="23"/>
        <v>7.413102413009173E-07</v>
      </c>
      <c r="AV65" s="151">
        <f t="shared" si="24"/>
        <v>1.4190575216890383E-31</v>
      </c>
      <c r="AW65" s="135">
        <f t="shared" si="25"/>
        <v>7.071312006813012</v>
      </c>
      <c r="AX65" s="151">
        <f t="shared" si="26"/>
        <v>1E-13</v>
      </c>
      <c r="AY65" s="136">
        <f t="shared" si="27"/>
        <v>1E-13</v>
      </c>
      <c r="AZ65" s="41"/>
      <c r="BA65" s="160">
        <f t="shared" si="11"/>
        <v>97.3027163703133</v>
      </c>
      <c r="BB65" s="161">
        <f t="shared" si="12"/>
        <v>81.88183125259174</v>
      </c>
    </row>
    <row r="66" spans="2:54" ht="12">
      <c r="B66" s="49">
        <v>650</v>
      </c>
      <c r="C66" s="50">
        <v>0.2835</v>
      </c>
      <c r="D66" s="50">
        <v>0.107</v>
      </c>
      <c r="E66" s="51">
        <v>0</v>
      </c>
      <c r="F66" s="50">
        <v>0.268329</v>
      </c>
      <c r="G66" s="51">
        <v>0.107633</v>
      </c>
      <c r="H66" s="50">
        <v>0</v>
      </c>
      <c r="I66" s="135">
        <f t="shared" si="7"/>
        <v>164.9925874285872</v>
      </c>
      <c r="J66" s="52">
        <v>103.9</v>
      </c>
      <c r="K66" s="53">
        <v>88.2</v>
      </c>
      <c r="L66" s="52">
        <f t="shared" si="38"/>
        <v>95.7087089908105</v>
      </c>
      <c r="M66" s="53">
        <v>100</v>
      </c>
      <c r="N66" s="53">
        <v>4.68</v>
      </c>
      <c r="O66" s="52">
        <v>10.02</v>
      </c>
      <c r="P66" s="53">
        <v>3.58</v>
      </c>
      <c r="Q66" s="42">
        <f t="shared" si="8"/>
        <v>97.2824007772761</v>
      </c>
      <c r="R66" s="53">
        <v>81.9</v>
      </c>
      <c r="S66" s="52">
        <v>-10.7</v>
      </c>
      <c r="T66" s="53">
        <v>7.3</v>
      </c>
      <c r="U66" s="67">
        <v>4.238</v>
      </c>
      <c r="V66" s="47">
        <v>-10</v>
      </c>
      <c r="W66" s="46">
        <v>-10</v>
      </c>
      <c r="X66" s="140">
        <v>4.286</v>
      </c>
      <c r="Y66" s="138">
        <f t="shared" si="47"/>
        <v>-8.620999999999999</v>
      </c>
      <c r="Z66" s="140">
        <f t="shared" si="37"/>
        <v>-20.83499999999999</v>
      </c>
      <c r="AA66" s="138">
        <v>3.699</v>
      </c>
      <c r="AB66" s="140">
        <v>-10</v>
      </c>
      <c r="AC66" s="138">
        <v>-10</v>
      </c>
      <c r="AD66" s="140">
        <v>4.899</v>
      </c>
      <c r="AE66" s="138">
        <f t="shared" si="49"/>
        <v>-3.73</v>
      </c>
      <c r="AF66" s="140">
        <f t="shared" si="40"/>
        <v>-28.948000000000015</v>
      </c>
      <c r="AG66" s="138">
        <v>3.699</v>
      </c>
      <c r="AH66" s="140">
        <v>-10</v>
      </c>
      <c r="AI66" s="142">
        <v>-10</v>
      </c>
      <c r="AJ66" s="46"/>
      <c r="AK66" s="149">
        <f t="shared" si="9"/>
        <v>17.298163592151056</v>
      </c>
      <c r="AL66" s="151">
        <f t="shared" si="14"/>
        <v>1E-13</v>
      </c>
      <c r="AM66" s="135">
        <f t="shared" si="15"/>
        <v>1E-13</v>
      </c>
      <c r="AN66" s="151">
        <f t="shared" si="16"/>
        <v>19.319683170169252</v>
      </c>
      <c r="AO66" s="135">
        <f t="shared" si="17"/>
        <v>2.393315756405387E-12</v>
      </c>
      <c r="AP66" s="151">
        <f t="shared" si="18"/>
        <v>1.4621771744567495E-24</v>
      </c>
      <c r="AQ66" s="135">
        <f t="shared" si="19"/>
        <v>5.000345349769791</v>
      </c>
      <c r="AR66" s="151">
        <f t="shared" si="20"/>
        <v>1E-13</v>
      </c>
      <c r="AS66" s="135">
        <f t="shared" si="21"/>
        <v>1E-13</v>
      </c>
      <c r="AT66" s="151">
        <f t="shared" si="22"/>
        <v>79.2501330480472</v>
      </c>
      <c r="AU66" s="135">
        <f t="shared" si="23"/>
        <v>1.8620871366628675E-07</v>
      </c>
      <c r="AV66" s="151">
        <f t="shared" si="24"/>
        <v>1.1271974561754632E-32</v>
      </c>
      <c r="AW66" s="135">
        <f t="shared" si="25"/>
        <v>5.000345349769791</v>
      </c>
      <c r="AX66" s="151">
        <f t="shared" si="26"/>
        <v>1E-13</v>
      </c>
      <c r="AY66" s="136">
        <f t="shared" si="27"/>
        <v>1E-13</v>
      </c>
      <c r="AZ66" s="41"/>
      <c r="BA66" s="160">
        <f t="shared" si="11"/>
        <v>95.7087089908105</v>
      </c>
      <c r="BB66" s="161">
        <f t="shared" si="12"/>
        <v>80.04564432969468</v>
      </c>
    </row>
    <row r="67" spans="2:54" ht="12">
      <c r="B67" s="49">
        <v>655</v>
      </c>
      <c r="C67" s="50">
        <v>0.2187</v>
      </c>
      <c r="D67" s="50">
        <v>0.0816</v>
      </c>
      <c r="E67" s="51">
        <v>0</v>
      </c>
      <c r="F67" s="50">
        <v>0.2043</v>
      </c>
      <c r="G67" s="51">
        <v>0.081187</v>
      </c>
      <c r="H67" s="50">
        <v>0</v>
      </c>
      <c r="I67" s="135">
        <f t="shared" si="7"/>
        <v>168.47306224776173</v>
      </c>
      <c r="J67" s="52">
        <v>104.59</v>
      </c>
      <c r="K67" s="53">
        <v>88.2</v>
      </c>
      <c r="L67" s="52">
        <f t="shared" si="38"/>
        <v>96.97330493723423</v>
      </c>
      <c r="M67" s="53">
        <v>100</v>
      </c>
      <c r="N67" s="53">
        <v>4.02</v>
      </c>
      <c r="O67" s="52">
        <v>10.11</v>
      </c>
      <c r="P67" s="53">
        <v>3.01</v>
      </c>
      <c r="Q67" s="42">
        <f t="shared" si="8"/>
        <v>96.88393116395997</v>
      </c>
      <c r="R67" s="53">
        <v>82.25</v>
      </c>
      <c r="S67" s="52">
        <v>-11.35</v>
      </c>
      <c r="T67" s="53">
        <v>7.95</v>
      </c>
      <c r="U67" s="67">
        <f>AVERAGE(U66,U68)</f>
        <v>4.125500000000001</v>
      </c>
      <c r="V67" s="47">
        <v>-10</v>
      </c>
      <c r="W67" s="46">
        <v>-10</v>
      </c>
      <c r="X67" s="140">
        <f>AVERAGE(X66,X68)</f>
        <v>4.093</v>
      </c>
      <c r="Y67" s="138">
        <f t="shared" si="47"/>
        <v>-9.470999999999998</v>
      </c>
      <c r="Z67" s="140">
        <f t="shared" si="37"/>
        <v>-21.53499999999999</v>
      </c>
      <c r="AA67" s="138">
        <f>AVERAGE(AA66,AA68)</f>
        <v>3.4375</v>
      </c>
      <c r="AB67" s="140">
        <v>-10</v>
      </c>
      <c r="AC67" s="138">
        <v>-10</v>
      </c>
      <c r="AD67" s="140">
        <f>AVERAGE(AD66,AD68)</f>
        <v>4.7385</v>
      </c>
      <c r="AE67" s="138">
        <f t="shared" si="49"/>
        <v>-4.33</v>
      </c>
      <c r="AF67" s="140">
        <f t="shared" si="40"/>
        <v>-30.048000000000016</v>
      </c>
      <c r="AG67" s="138">
        <f>AVERAGE(AG66,AG68)</f>
        <v>3.4375</v>
      </c>
      <c r="AH67" s="140">
        <v>-10</v>
      </c>
      <c r="AI67" s="142">
        <v>-10</v>
      </c>
      <c r="AJ67" s="46"/>
      <c r="AK67" s="149">
        <f t="shared" si="9"/>
        <v>13.350575895623738</v>
      </c>
      <c r="AL67" s="151">
        <f t="shared" si="14"/>
        <v>1E-13</v>
      </c>
      <c r="AM67" s="135">
        <f t="shared" si="15"/>
        <v>1E-13</v>
      </c>
      <c r="AN67" s="151">
        <f t="shared" si="16"/>
        <v>12.387965865303695</v>
      </c>
      <c r="AO67" s="135">
        <f t="shared" si="17"/>
        <v>3.3806483620598195E-13</v>
      </c>
      <c r="AP67" s="151">
        <f t="shared" si="18"/>
        <v>2.9174270140012285E-25</v>
      </c>
      <c r="AQ67" s="135">
        <f t="shared" si="19"/>
        <v>2.7384196342643636</v>
      </c>
      <c r="AR67" s="151">
        <f t="shared" si="20"/>
        <v>1E-13</v>
      </c>
      <c r="AS67" s="135">
        <f t="shared" si="21"/>
        <v>1E-13</v>
      </c>
      <c r="AT67" s="151">
        <f t="shared" si="22"/>
        <v>54.7646100961895</v>
      </c>
      <c r="AU67" s="135">
        <f t="shared" si="23"/>
        <v>4.677351412871976E-08</v>
      </c>
      <c r="AV67" s="151">
        <f t="shared" si="24"/>
        <v>8.953647655495532E-34</v>
      </c>
      <c r="AW67" s="135">
        <f t="shared" si="25"/>
        <v>2.7384196342643636</v>
      </c>
      <c r="AX67" s="151">
        <f t="shared" si="26"/>
        <v>1E-13</v>
      </c>
      <c r="AY67" s="136">
        <f t="shared" si="27"/>
        <v>1E-13</v>
      </c>
      <c r="AZ67" s="41"/>
      <c r="BA67" s="160">
        <f t="shared" si="11"/>
        <v>96.97330493723423</v>
      </c>
      <c r="BB67" s="161">
        <f t="shared" si="12"/>
        <v>80.1407951992678</v>
      </c>
    </row>
    <row r="68" spans="2:54" ht="12">
      <c r="B68" s="49">
        <v>660</v>
      </c>
      <c r="C68" s="50">
        <v>0.1649</v>
      </c>
      <c r="D68" s="50">
        <v>0.061</v>
      </c>
      <c r="E68" s="51">
        <v>0</v>
      </c>
      <c r="F68" s="50">
        <v>0.152568</v>
      </c>
      <c r="G68" s="51">
        <v>0.060281</v>
      </c>
      <c r="H68" s="50">
        <v>0</v>
      </c>
      <c r="I68" s="135">
        <f t="shared" si="7"/>
        <v>171.9231040726773</v>
      </c>
      <c r="J68" s="52">
        <v>105</v>
      </c>
      <c r="K68" s="53">
        <v>87.9</v>
      </c>
      <c r="L68" s="52">
        <f t="shared" si="38"/>
        <v>98.23790088365794</v>
      </c>
      <c r="M68" s="53">
        <v>100</v>
      </c>
      <c r="N68" s="53">
        <v>3.45</v>
      </c>
      <c r="O68" s="52">
        <v>9.87</v>
      </c>
      <c r="P68" s="53">
        <v>2.48</v>
      </c>
      <c r="Q68" s="42">
        <f t="shared" si="8"/>
        <v>96.4665612919319</v>
      </c>
      <c r="R68" s="53">
        <v>82.6</v>
      </c>
      <c r="S68" s="52">
        <v>-12</v>
      </c>
      <c r="T68" s="53">
        <v>8.6</v>
      </c>
      <c r="U68" s="67">
        <v>4.013</v>
      </c>
      <c r="V68" s="47">
        <v>-10</v>
      </c>
      <c r="W68" s="46">
        <v>-10</v>
      </c>
      <c r="X68" s="140">
        <v>3.9</v>
      </c>
      <c r="Y68" s="138">
        <f t="shared" si="47"/>
        <v>-10.320999999999998</v>
      </c>
      <c r="Z68" s="140">
        <f t="shared" si="37"/>
        <v>-22.23499999999999</v>
      </c>
      <c r="AA68" s="138">
        <v>3.176</v>
      </c>
      <c r="AB68" s="140">
        <v>-10</v>
      </c>
      <c r="AC68" s="138">
        <v>-10</v>
      </c>
      <c r="AD68" s="140">
        <v>4.578</v>
      </c>
      <c r="AE68" s="138">
        <f t="shared" si="49"/>
        <v>-4.93</v>
      </c>
      <c r="AF68" s="140">
        <f t="shared" si="40"/>
        <v>-31.148000000000017</v>
      </c>
      <c r="AG68" s="138">
        <v>3.176</v>
      </c>
      <c r="AH68" s="140">
        <v>-10</v>
      </c>
      <c r="AI68" s="142">
        <v>-10</v>
      </c>
      <c r="AJ68" s="46"/>
      <c r="AK68" s="149">
        <f t="shared" si="9"/>
        <v>10.303861204416172</v>
      </c>
      <c r="AL68" s="151">
        <f t="shared" si="14"/>
        <v>1E-13</v>
      </c>
      <c r="AM68" s="135">
        <f t="shared" si="15"/>
        <v>1E-13</v>
      </c>
      <c r="AN68" s="151">
        <f t="shared" si="16"/>
        <v>7.943282347242816</v>
      </c>
      <c r="AO68" s="135">
        <f t="shared" si="17"/>
        <v>4.775292736576919E-14</v>
      </c>
      <c r="AP68" s="151">
        <f t="shared" si="18"/>
        <v>5.821032177708833E-26</v>
      </c>
      <c r="AQ68" s="135">
        <f t="shared" si="19"/>
        <v>1.4996848355023757</v>
      </c>
      <c r="AR68" s="151">
        <f t="shared" si="20"/>
        <v>1E-13</v>
      </c>
      <c r="AS68" s="135">
        <f t="shared" si="21"/>
        <v>1E-13</v>
      </c>
      <c r="AT68" s="151">
        <f t="shared" si="22"/>
        <v>37.844258471709374</v>
      </c>
      <c r="AU68" s="135">
        <f t="shared" si="23"/>
        <v>1.1748975549395286E-08</v>
      </c>
      <c r="AV68" s="151">
        <f t="shared" si="24"/>
        <v>7.112135136532941E-35</v>
      </c>
      <c r="AW68" s="135">
        <f t="shared" si="25"/>
        <v>1.4996848355023757</v>
      </c>
      <c r="AX68" s="151">
        <f t="shared" si="26"/>
        <v>1E-13</v>
      </c>
      <c r="AY68" s="136">
        <f t="shared" si="27"/>
        <v>1E-13</v>
      </c>
      <c r="AZ68" s="41"/>
      <c r="BA68" s="160">
        <f t="shared" si="11"/>
        <v>98.23790088365794</v>
      </c>
      <c r="BB68" s="161">
        <f t="shared" si="12"/>
        <v>80.2359460688409</v>
      </c>
    </row>
    <row r="69" spans="2:54" ht="12">
      <c r="B69" s="49">
        <v>665</v>
      </c>
      <c r="C69" s="50">
        <v>0.1212</v>
      </c>
      <c r="D69" s="50">
        <v>0.04458</v>
      </c>
      <c r="E69" s="51">
        <v>0</v>
      </c>
      <c r="F69" s="50">
        <v>0.11221</v>
      </c>
      <c r="G69" s="51">
        <v>0.044096</v>
      </c>
      <c r="H69" s="50">
        <v>0</v>
      </c>
      <c r="I69" s="135">
        <f aca="true" t="shared" si="50" ref="I69:I102">(100*$BE$12)/(1E-45*B69*B69*B69*B69*B69*(POWER($BE$11,$BE$13/($BE$17*B69*0.000000001))-1)*$BE$18)</f>
        <v>175.34066087091543</v>
      </c>
      <c r="J69" s="52">
        <v>105.08</v>
      </c>
      <c r="K69" s="53">
        <v>87.22</v>
      </c>
      <c r="L69" s="52">
        <f t="shared" si="38"/>
        <v>100.64827188128595</v>
      </c>
      <c r="M69" s="53">
        <v>100</v>
      </c>
      <c r="N69" s="53">
        <v>2.96</v>
      </c>
      <c r="O69" s="52">
        <v>8.65</v>
      </c>
      <c r="P69" s="53">
        <v>2.14</v>
      </c>
      <c r="Q69" s="42">
        <f aca="true" t="shared" si="51" ref="Q69:Q102">(100*$BE$12)/(1E-45*B69*B69*B69*B69*B69*(POWER($BE$11,$BE$13/(Blackbody_Temperature*B69*0.000000001))-1)*$BE$14)</f>
        <v>96.03123495193034</v>
      </c>
      <c r="R69" s="53">
        <v>83.75</v>
      </c>
      <c r="S69" s="52">
        <v>-13</v>
      </c>
      <c r="T69" s="53">
        <v>9.2</v>
      </c>
      <c r="U69" s="67">
        <f>AVERAGE(U68,U70)</f>
        <v>3.8810000000000002</v>
      </c>
      <c r="V69" s="47">
        <v>-10</v>
      </c>
      <c r="W69" s="46">
        <v>-10</v>
      </c>
      <c r="X69" s="140">
        <f>AVERAGE(X68,X70)</f>
        <v>3.7255000000000003</v>
      </c>
      <c r="Y69" s="138">
        <f t="shared" si="47"/>
        <v>-11.170999999999998</v>
      </c>
      <c r="Z69" s="140">
        <f t="shared" si="37"/>
        <v>-22.934999999999988</v>
      </c>
      <c r="AA69" s="138">
        <f>AVERAGE(AA68,AA70)</f>
        <v>2.9375</v>
      </c>
      <c r="AB69" s="140">
        <v>-10</v>
      </c>
      <c r="AC69" s="138">
        <v>-10</v>
      </c>
      <c r="AD69" s="140">
        <f>AVERAGE(AD68,AD70)</f>
        <v>4.415</v>
      </c>
      <c r="AE69" s="138">
        <f t="shared" si="49"/>
        <v>-5.529999999999999</v>
      </c>
      <c r="AF69" s="140">
        <f t="shared" si="40"/>
        <v>-32.24800000000002</v>
      </c>
      <c r="AG69" s="138">
        <f>AVERAGE(AG68,AG70)</f>
        <v>2.9375</v>
      </c>
      <c r="AH69" s="140">
        <v>-10</v>
      </c>
      <c r="AI69" s="142">
        <v>-10</v>
      </c>
      <c r="AJ69" s="46"/>
      <c r="AK69" s="149">
        <f aca="true" t="shared" si="52" ref="AK69:AK102">POWER(10,U69)/1000</f>
        <v>7.603262769401826</v>
      </c>
      <c r="AL69" s="151">
        <f t="shared" si="14"/>
        <v>1E-13</v>
      </c>
      <c r="AM69" s="135">
        <f t="shared" si="15"/>
        <v>1E-13</v>
      </c>
      <c r="AN69" s="151">
        <f t="shared" si="16"/>
        <v>5.3149599950664905</v>
      </c>
      <c r="AO69" s="135">
        <f t="shared" si="17"/>
        <v>6.74528027697924E-15</v>
      </c>
      <c r="AP69" s="151">
        <f t="shared" si="18"/>
        <v>1.1614486138403662E-26</v>
      </c>
      <c r="AQ69" s="135">
        <f t="shared" si="19"/>
        <v>0.8659643233600657</v>
      </c>
      <c r="AR69" s="151">
        <f t="shared" si="20"/>
        <v>1E-13</v>
      </c>
      <c r="AS69" s="135">
        <f t="shared" si="21"/>
        <v>1E-13</v>
      </c>
      <c r="AT69" s="151">
        <f t="shared" si="22"/>
        <v>26.00159563165273</v>
      </c>
      <c r="AU69" s="135">
        <f t="shared" si="23"/>
        <v>2.9512092266663842E-09</v>
      </c>
      <c r="AV69" s="151">
        <f t="shared" si="24"/>
        <v>5.6493697481227263E-36</v>
      </c>
      <c r="AW69" s="135">
        <f t="shared" si="25"/>
        <v>0.8659643233600657</v>
      </c>
      <c r="AX69" s="151">
        <f t="shared" si="26"/>
        <v>1E-13</v>
      </c>
      <c r="AY69" s="136">
        <f t="shared" si="27"/>
        <v>1E-13</v>
      </c>
      <c r="AZ69" s="41"/>
      <c r="BA69" s="160">
        <f t="shared" si="11"/>
        <v>100.64827188128595</v>
      </c>
      <c r="BB69" s="161">
        <f t="shared" si="12"/>
        <v>81.26926496499307</v>
      </c>
    </row>
    <row r="70" spans="2:54" ht="12">
      <c r="B70" s="49">
        <v>670</v>
      </c>
      <c r="C70" s="50">
        <v>0.0874</v>
      </c>
      <c r="D70" s="50">
        <v>0.032</v>
      </c>
      <c r="E70" s="51">
        <v>0</v>
      </c>
      <c r="F70" s="50">
        <v>0.0812606</v>
      </c>
      <c r="G70" s="51">
        <v>0.0318004</v>
      </c>
      <c r="H70" s="50">
        <v>0</v>
      </c>
      <c r="I70" s="135">
        <f t="shared" si="50"/>
        <v>178.72377170925287</v>
      </c>
      <c r="J70" s="52">
        <v>104.9</v>
      </c>
      <c r="K70" s="53">
        <v>86.3</v>
      </c>
      <c r="L70" s="52">
        <f t="shared" si="38"/>
        <v>103.05864287891393</v>
      </c>
      <c r="M70" s="53">
        <v>100</v>
      </c>
      <c r="N70" s="53">
        <v>2.55</v>
      </c>
      <c r="O70" s="52">
        <v>7.27</v>
      </c>
      <c r="P70" s="53">
        <v>1.54</v>
      </c>
      <c r="Q70" s="42">
        <f t="shared" si="51"/>
        <v>95.57887001943234</v>
      </c>
      <c r="R70" s="53">
        <v>84.9</v>
      </c>
      <c r="S70" s="52">
        <v>-14</v>
      </c>
      <c r="T70" s="53">
        <v>9.8</v>
      </c>
      <c r="U70" s="67">
        <v>3.749</v>
      </c>
      <c r="V70" s="47">
        <v>-10</v>
      </c>
      <c r="W70" s="46">
        <v>-10</v>
      </c>
      <c r="X70" s="140">
        <v>3.551</v>
      </c>
      <c r="Y70" s="138">
        <f t="shared" si="47"/>
        <v>-12.020999999999997</v>
      </c>
      <c r="Z70" s="140">
        <f t="shared" si="37"/>
        <v>-23.634999999999987</v>
      </c>
      <c r="AA70" s="138">
        <v>2.699</v>
      </c>
      <c r="AB70" s="140">
        <v>-10</v>
      </c>
      <c r="AC70" s="138">
        <v>-10</v>
      </c>
      <c r="AD70" s="140">
        <v>4.252</v>
      </c>
      <c r="AE70" s="138">
        <f t="shared" si="49"/>
        <v>-6.129999999999999</v>
      </c>
      <c r="AF70" s="140">
        <f t="shared" si="40"/>
        <v>-33.34800000000002</v>
      </c>
      <c r="AG70" s="138">
        <v>2.699</v>
      </c>
      <c r="AH70" s="140">
        <v>-10</v>
      </c>
      <c r="AI70" s="142">
        <v>-10</v>
      </c>
      <c r="AJ70" s="46"/>
      <c r="AK70" s="149">
        <f t="shared" si="52"/>
        <v>5.610479760324709</v>
      </c>
      <c r="AL70" s="151">
        <f t="shared" si="14"/>
        <v>1E-13</v>
      </c>
      <c r="AM70" s="135">
        <f t="shared" si="15"/>
        <v>1E-13</v>
      </c>
      <c r="AN70" s="151">
        <f t="shared" si="16"/>
        <v>3.5563131856898553</v>
      </c>
      <c r="AO70" s="135">
        <f t="shared" si="17"/>
        <v>9.527961640236558E-16</v>
      </c>
      <c r="AP70" s="151">
        <f t="shared" si="18"/>
        <v>2.3173946499685407E-27</v>
      </c>
      <c r="AQ70" s="135">
        <f t="shared" si="19"/>
        <v>0.5000345349769786</v>
      </c>
      <c r="AR70" s="151">
        <f t="shared" si="20"/>
        <v>1E-13</v>
      </c>
      <c r="AS70" s="135">
        <f t="shared" si="21"/>
        <v>1E-13</v>
      </c>
      <c r="AT70" s="151">
        <f t="shared" si="22"/>
        <v>17.864875748520507</v>
      </c>
      <c r="AU70" s="135">
        <f t="shared" si="23"/>
        <v>7.413102413009188E-10</v>
      </c>
      <c r="AV70" s="151">
        <f t="shared" si="24"/>
        <v>4.487453899331068E-37</v>
      </c>
      <c r="AW70" s="135">
        <f t="shared" si="25"/>
        <v>0.5000345349769786</v>
      </c>
      <c r="AX70" s="151">
        <f t="shared" si="26"/>
        <v>1E-13</v>
      </c>
      <c r="AY70" s="136">
        <f t="shared" si="27"/>
        <v>1E-13</v>
      </c>
      <c r="AZ70" s="41"/>
      <c r="BA70" s="160">
        <f t="shared" si="11"/>
        <v>103.05864287891393</v>
      </c>
      <c r="BB70" s="161">
        <f t="shared" si="12"/>
        <v>82.30258386114524</v>
      </c>
    </row>
    <row r="71" spans="2:54" ht="12">
      <c r="B71" s="49">
        <v>675</v>
      </c>
      <c r="C71" s="50">
        <v>0.0636</v>
      </c>
      <c r="D71" s="50">
        <v>0.0232</v>
      </c>
      <c r="E71" s="51">
        <v>0</v>
      </c>
      <c r="F71" s="50">
        <v>0.05793</v>
      </c>
      <c r="G71" s="51">
        <v>0.0226017</v>
      </c>
      <c r="H71" s="50">
        <v>0</v>
      </c>
      <c r="I71" s="135">
        <f t="shared" si="50"/>
        <v>182.0705666202654</v>
      </c>
      <c r="J71" s="52">
        <v>104.55</v>
      </c>
      <c r="K71" s="53">
        <v>85.3</v>
      </c>
      <c r="L71" s="52">
        <f t="shared" si="38"/>
        <v>101.12392843073054</v>
      </c>
      <c r="M71" s="53">
        <v>100</v>
      </c>
      <c r="N71" s="53">
        <v>2.19</v>
      </c>
      <c r="O71" s="52">
        <v>6.44</v>
      </c>
      <c r="P71" s="53">
        <v>1.33</v>
      </c>
      <c r="Q71" s="42">
        <f t="shared" si="51"/>
        <v>95.11035848161744</v>
      </c>
      <c r="R71" s="53">
        <v>83.1</v>
      </c>
      <c r="S71" s="52">
        <v>-13.8</v>
      </c>
      <c r="T71" s="53">
        <v>10</v>
      </c>
      <c r="U71" s="67">
        <f>AVERAGE(U70,U72)</f>
        <v>3.6195000000000004</v>
      </c>
      <c r="V71" s="47">
        <v>-10</v>
      </c>
      <c r="W71" s="46">
        <v>-10</v>
      </c>
      <c r="X71" s="140">
        <f>AVERAGE(X70,X72)</f>
        <v>3.358</v>
      </c>
      <c r="Y71" s="138">
        <f t="shared" si="47"/>
        <v>-12.870999999999997</v>
      </c>
      <c r="Z71" s="140">
        <f t="shared" si="37"/>
        <v>-24.334999999999987</v>
      </c>
      <c r="AA71" s="138">
        <f>AVERAGE(AA70,AA72)</f>
        <v>2.588</v>
      </c>
      <c r="AB71" s="140">
        <v>-10</v>
      </c>
      <c r="AC71" s="138">
        <v>-10</v>
      </c>
      <c r="AD71" s="140">
        <f>AVERAGE(AD70,AD72)</f>
        <v>4.0634999999999994</v>
      </c>
      <c r="AE71" s="138">
        <f t="shared" si="49"/>
        <v>-6.729999999999999</v>
      </c>
      <c r="AF71" s="140">
        <f t="shared" si="40"/>
        <v>-34.44800000000002</v>
      </c>
      <c r="AG71" s="138">
        <f>AVERAGE(AG70,AG72)</f>
        <v>2.588</v>
      </c>
      <c r="AH71" s="140">
        <v>-10</v>
      </c>
      <c r="AI71" s="142">
        <v>-10</v>
      </c>
      <c r="AJ71" s="46"/>
      <c r="AK71" s="149">
        <f t="shared" si="52"/>
        <v>4.1638972102516485</v>
      </c>
      <c r="AL71" s="151">
        <f t="shared" si="14"/>
        <v>1E-13</v>
      </c>
      <c r="AM71" s="135">
        <f t="shared" si="15"/>
        <v>1E-13</v>
      </c>
      <c r="AN71" s="151">
        <f t="shared" si="16"/>
        <v>2.2803420720004204</v>
      </c>
      <c r="AO71" s="135">
        <f t="shared" si="17"/>
        <v>1.345860354055955E-16</v>
      </c>
      <c r="AP71" s="151">
        <f t="shared" si="18"/>
        <v>4.623810213992724E-28</v>
      </c>
      <c r="AQ71" s="135">
        <f t="shared" si="19"/>
        <v>0.3872576449216174</v>
      </c>
      <c r="AR71" s="151">
        <f t="shared" si="20"/>
        <v>1E-13</v>
      </c>
      <c r="AS71" s="135">
        <f t="shared" si="21"/>
        <v>1E-13</v>
      </c>
      <c r="AT71" s="151">
        <f t="shared" si="22"/>
        <v>11.57444032092236</v>
      </c>
      <c r="AU71" s="135">
        <f t="shared" si="23"/>
        <v>1.8620871366628713E-10</v>
      </c>
      <c r="AV71" s="151">
        <f t="shared" si="24"/>
        <v>3.5645113342622273E-38</v>
      </c>
      <c r="AW71" s="135">
        <f t="shared" si="25"/>
        <v>0.3872576449216174</v>
      </c>
      <c r="AX71" s="151">
        <f t="shared" si="26"/>
        <v>1E-13</v>
      </c>
      <c r="AY71" s="136">
        <f t="shared" si="27"/>
        <v>1E-13</v>
      </c>
      <c r="AZ71" s="41"/>
      <c r="BA71" s="160">
        <f t="shared" si="11"/>
        <v>101.12392843073054</v>
      </c>
      <c r="BB71" s="161">
        <f t="shared" si="12"/>
        <v>80.30560449677537</v>
      </c>
    </row>
    <row r="72" spans="2:54" ht="12">
      <c r="B72" s="49">
        <v>680</v>
      </c>
      <c r="C72" s="50">
        <v>0.04677</v>
      </c>
      <c r="D72" s="50">
        <v>0.017</v>
      </c>
      <c r="E72" s="51">
        <v>0</v>
      </c>
      <c r="F72" s="50">
        <v>0.0408508</v>
      </c>
      <c r="G72" s="51">
        <v>0.0159051</v>
      </c>
      <c r="H72" s="50">
        <v>0</v>
      </c>
      <c r="I72" s="135">
        <f t="shared" si="50"/>
        <v>185.37926624976816</v>
      </c>
      <c r="J72" s="52">
        <v>103.9</v>
      </c>
      <c r="K72" s="53">
        <v>84</v>
      </c>
      <c r="L72" s="52">
        <f aca="true" t="shared" si="53" ref="L72:L102">(R72+S72*$BE$7+T72*$BE$8)</f>
        <v>99.18921398254714</v>
      </c>
      <c r="M72" s="53">
        <v>100</v>
      </c>
      <c r="N72" s="53">
        <v>1.89</v>
      </c>
      <c r="O72" s="52">
        <v>5.83</v>
      </c>
      <c r="P72" s="53">
        <v>1.46</v>
      </c>
      <c r="Q72" s="42">
        <f t="shared" si="51"/>
        <v>94.62656652646577</v>
      </c>
      <c r="R72" s="53">
        <v>81.3</v>
      </c>
      <c r="S72" s="52">
        <v>-13.6</v>
      </c>
      <c r="T72" s="53">
        <v>10.2</v>
      </c>
      <c r="U72" s="67">
        <v>3.49</v>
      </c>
      <c r="V72" s="47">
        <v>-10</v>
      </c>
      <c r="W72" s="46">
        <v>-10</v>
      </c>
      <c r="X72" s="140">
        <v>3.165</v>
      </c>
      <c r="Y72" s="138">
        <f t="shared" si="47"/>
        <v>-13.720999999999997</v>
      </c>
      <c r="Z72" s="140">
        <f t="shared" si="37"/>
        <v>-25.034999999999986</v>
      </c>
      <c r="AA72" s="138">
        <v>2.477</v>
      </c>
      <c r="AB72" s="140">
        <v>-10</v>
      </c>
      <c r="AC72" s="138">
        <v>-10</v>
      </c>
      <c r="AD72" s="140">
        <v>3.875</v>
      </c>
      <c r="AE72" s="138">
        <f t="shared" si="49"/>
        <v>-7.329999999999998</v>
      </c>
      <c r="AF72" s="140">
        <f t="shared" si="40"/>
        <v>-35.54800000000002</v>
      </c>
      <c r="AG72" s="138">
        <v>2.477</v>
      </c>
      <c r="AH72" s="140">
        <v>-10</v>
      </c>
      <c r="AI72" s="142">
        <v>-10</v>
      </c>
      <c r="AJ72" s="46"/>
      <c r="AK72" s="149">
        <f t="shared" si="52"/>
        <v>3.090295432513592</v>
      </c>
      <c r="AL72" s="151">
        <f t="shared" si="14"/>
        <v>1E-13</v>
      </c>
      <c r="AM72" s="135">
        <f t="shared" si="15"/>
        <v>1E-13</v>
      </c>
      <c r="AN72" s="151">
        <f t="shared" si="16"/>
        <v>1.4621771744567196</v>
      </c>
      <c r="AO72" s="135">
        <f t="shared" si="17"/>
        <v>1.9010782799233114E-17</v>
      </c>
      <c r="AP72" s="151">
        <f t="shared" si="18"/>
        <v>9.225714271547872E-29</v>
      </c>
      <c r="AQ72" s="135">
        <f t="shared" si="19"/>
        <v>0.2999162518987651</v>
      </c>
      <c r="AR72" s="151">
        <f t="shared" si="20"/>
        <v>1E-13</v>
      </c>
      <c r="AS72" s="135">
        <f t="shared" si="21"/>
        <v>1E-13</v>
      </c>
      <c r="AT72" s="151">
        <f t="shared" si="22"/>
        <v>7.49894209332456</v>
      </c>
      <c r="AU72" s="135">
        <f t="shared" si="23"/>
        <v>4.6773514128719943E-11</v>
      </c>
      <c r="AV72" s="151">
        <f t="shared" si="24"/>
        <v>2.8313919957991977E-39</v>
      </c>
      <c r="AW72" s="135">
        <f t="shared" si="25"/>
        <v>0.2999162518987651</v>
      </c>
      <c r="AX72" s="151">
        <f t="shared" si="26"/>
        <v>1E-13</v>
      </c>
      <c r="AY72" s="136">
        <f t="shared" si="27"/>
        <v>1E-13</v>
      </c>
      <c r="AZ72" s="41"/>
      <c r="BA72" s="160">
        <f t="shared" si="11"/>
        <v>99.18921398254714</v>
      </c>
      <c r="BB72" s="161">
        <f t="shared" si="12"/>
        <v>78.30862513240552</v>
      </c>
    </row>
    <row r="73" spans="2:54" ht="12">
      <c r="B73" s="49">
        <v>685</v>
      </c>
      <c r="C73" s="50">
        <v>0.0329</v>
      </c>
      <c r="D73" s="50">
        <v>0.01192</v>
      </c>
      <c r="E73" s="51">
        <v>0</v>
      </c>
      <c r="F73" s="50">
        <v>0.028623</v>
      </c>
      <c r="G73" s="51">
        <v>0.0111303</v>
      </c>
      <c r="H73" s="50">
        <v>0</v>
      </c>
      <c r="I73" s="135">
        <f t="shared" si="50"/>
        <v>188.6481813012228</v>
      </c>
      <c r="J73" s="52">
        <v>102.84</v>
      </c>
      <c r="K73" s="53">
        <v>82.21</v>
      </c>
      <c r="L73" s="52">
        <f t="shared" si="53"/>
        <v>93.30854504966089</v>
      </c>
      <c r="M73" s="53">
        <v>100</v>
      </c>
      <c r="N73" s="53">
        <v>1.64</v>
      </c>
      <c r="O73" s="52">
        <v>5.41</v>
      </c>
      <c r="P73" s="53">
        <v>1.94</v>
      </c>
      <c r="Q73" s="42">
        <f t="shared" si="51"/>
        <v>94.12833468800726</v>
      </c>
      <c r="R73" s="53">
        <v>76.6</v>
      </c>
      <c r="S73" s="52">
        <v>-12.8</v>
      </c>
      <c r="T73" s="53">
        <v>9.25</v>
      </c>
      <c r="U73" s="67">
        <f>AVERAGE(U72,U74)</f>
        <v>3.3390000000000004</v>
      </c>
      <c r="V73" s="47">
        <v>-10</v>
      </c>
      <c r="W73" s="46">
        <v>-10</v>
      </c>
      <c r="X73" s="140">
        <f>AVERAGE(X72,X74)</f>
        <v>2.9705</v>
      </c>
      <c r="Y73" s="138">
        <f t="shared" si="47"/>
        <v>-14.570999999999996</v>
      </c>
      <c r="Z73" s="140">
        <f t="shared" si="37"/>
        <v>-25.734999999999985</v>
      </c>
      <c r="AA73" s="138">
        <f>AVERAGE(AA72,AA74)</f>
        <v>2.3265000000000002</v>
      </c>
      <c r="AB73" s="140">
        <v>-10</v>
      </c>
      <c r="AC73" s="138">
        <v>-10</v>
      </c>
      <c r="AD73" s="140">
        <f>AVERAGE(AD72,AD74)</f>
        <v>3.683</v>
      </c>
      <c r="AE73" s="138">
        <f t="shared" si="49"/>
        <v>-7.929999999999998</v>
      </c>
      <c r="AF73" s="140">
        <f t="shared" si="40"/>
        <v>-36.648000000000025</v>
      </c>
      <c r="AG73" s="138">
        <f>AVERAGE(AG72,AG74)</f>
        <v>2.3265000000000002</v>
      </c>
      <c r="AH73" s="140">
        <v>-10</v>
      </c>
      <c r="AI73" s="142">
        <v>-10</v>
      </c>
      <c r="AJ73" s="46"/>
      <c r="AK73" s="149">
        <f t="shared" si="52"/>
        <v>2.182729911843006</v>
      </c>
      <c r="AL73" s="151">
        <f t="shared" si="14"/>
        <v>1E-13</v>
      </c>
      <c r="AM73" s="135">
        <f t="shared" si="15"/>
        <v>1E-13</v>
      </c>
      <c r="AN73" s="151">
        <f t="shared" si="16"/>
        <v>0.9343293682573144</v>
      </c>
      <c r="AO73" s="135">
        <f t="shared" si="17"/>
        <v>2.6853444456585266E-18</v>
      </c>
      <c r="AP73" s="151">
        <f t="shared" si="18"/>
        <v>1.840772001469003E-29</v>
      </c>
      <c r="AQ73" s="135">
        <f t="shared" si="19"/>
        <v>0.2120801393090095</v>
      </c>
      <c r="AR73" s="151">
        <f t="shared" si="20"/>
        <v>1E-13</v>
      </c>
      <c r="AS73" s="135">
        <f t="shared" si="21"/>
        <v>1E-13</v>
      </c>
      <c r="AT73" s="151">
        <f t="shared" si="22"/>
        <v>4.819477976251276</v>
      </c>
      <c r="AU73" s="135">
        <f t="shared" si="23"/>
        <v>1.174897554939535E-11</v>
      </c>
      <c r="AV73" s="151">
        <f t="shared" si="24"/>
        <v>2.249054605835629E-40</v>
      </c>
      <c r="AW73" s="135">
        <f t="shared" si="25"/>
        <v>0.2120801393090095</v>
      </c>
      <c r="AX73" s="151">
        <f t="shared" si="26"/>
        <v>1E-13</v>
      </c>
      <c r="AY73" s="136">
        <f t="shared" si="27"/>
        <v>1E-13</v>
      </c>
      <c r="AZ73" s="41"/>
      <c r="BA73" s="160">
        <f aca="true" t="shared" si="54" ref="BA73:BA102">(R73+S73*$BE$26+T73*$BE$27)</f>
        <v>93.30854504966089</v>
      </c>
      <c r="BB73" s="161">
        <f aca="true" t="shared" si="55" ref="BB73:BB102">(R73+S73*$BE$35+T73*$BE$36)</f>
        <v>74.02555853115733</v>
      </c>
    </row>
    <row r="74" spans="2:54" ht="12">
      <c r="B74" s="49">
        <v>690</v>
      </c>
      <c r="C74" s="50">
        <v>0.0227</v>
      </c>
      <c r="D74" s="50">
        <v>0.00821</v>
      </c>
      <c r="E74" s="51">
        <v>0</v>
      </c>
      <c r="F74" s="50">
        <v>0.0199413</v>
      </c>
      <c r="G74" s="51">
        <v>0.0077488</v>
      </c>
      <c r="H74" s="50">
        <v>0</v>
      </c>
      <c r="I74" s="135">
        <f t="shared" si="50"/>
        <v>191.8757117927525</v>
      </c>
      <c r="J74" s="52">
        <v>101.6</v>
      </c>
      <c r="K74" s="53">
        <v>80.2</v>
      </c>
      <c r="L74" s="52">
        <f t="shared" si="53"/>
        <v>87.42787611677464</v>
      </c>
      <c r="M74" s="53">
        <v>100</v>
      </c>
      <c r="N74" s="53">
        <v>1.53</v>
      </c>
      <c r="O74" s="52">
        <v>5.04</v>
      </c>
      <c r="P74" s="53">
        <v>2</v>
      </c>
      <c r="Q74" s="42">
        <f t="shared" si="51"/>
        <v>93.61647804213015</v>
      </c>
      <c r="R74" s="53">
        <v>71.9</v>
      </c>
      <c r="S74" s="52">
        <v>-12</v>
      </c>
      <c r="T74" s="53">
        <v>8.3</v>
      </c>
      <c r="U74" s="67">
        <v>3.188</v>
      </c>
      <c r="V74" s="47">
        <v>-10</v>
      </c>
      <c r="W74" s="46">
        <v>-10</v>
      </c>
      <c r="X74" s="140">
        <v>2.776</v>
      </c>
      <c r="Y74" s="138">
        <f t="shared" si="47"/>
        <v>-15.420999999999996</v>
      </c>
      <c r="Z74" s="140">
        <f t="shared" si="37"/>
        <v>-26.434999999999985</v>
      </c>
      <c r="AA74" s="138">
        <v>2.176</v>
      </c>
      <c r="AB74" s="140">
        <v>-10</v>
      </c>
      <c r="AC74" s="138">
        <v>-10</v>
      </c>
      <c r="AD74" s="140">
        <v>3.491</v>
      </c>
      <c r="AE74" s="138">
        <f t="shared" si="49"/>
        <v>-8.529999999999998</v>
      </c>
      <c r="AF74" s="140">
        <f t="shared" si="40"/>
        <v>-37.748000000000026</v>
      </c>
      <c r="AG74" s="138">
        <v>2.176</v>
      </c>
      <c r="AH74" s="140">
        <v>-10</v>
      </c>
      <c r="AI74" s="142">
        <v>-10</v>
      </c>
      <c r="AJ74" s="46"/>
      <c r="AK74" s="149">
        <f t="shared" si="52"/>
        <v>1.541700452949561</v>
      </c>
      <c r="AL74" s="151">
        <f t="shared" si="14"/>
        <v>1E-13</v>
      </c>
      <c r="AM74" s="135">
        <f t="shared" si="15"/>
        <v>1E-13</v>
      </c>
      <c r="AN74" s="151">
        <f t="shared" si="16"/>
        <v>0.5970352865838369</v>
      </c>
      <c r="AO74" s="135">
        <f t="shared" si="17"/>
        <v>3.79314984973685E-19</v>
      </c>
      <c r="AP74" s="151">
        <f t="shared" si="18"/>
        <v>3.6728230049809654E-30</v>
      </c>
      <c r="AQ74" s="135">
        <f t="shared" si="19"/>
        <v>0.14996848355023754</v>
      </c>
      <c r="AR74" s="151">
        <f t="shared" si="20"/>
        <v>1E-13</v>
      </c>
      <c r="AS74" s="135">
        <f t="shared" si="21"/>
        <v>1E-13</v>
      </c>
      <c r="AT74" s="151">
        <f t="shared" si="22"/>
        <v>3.0974192992165834</v>
      </c>
      <c r="AU74" s="135">
        <f t="shared" si="23"/>
        <v>2.951209226666396E-12</v>
      </c>
      <c r="AV74" s="151">
        <f t="shared" si="24"/>
        <v>1.786487574851923E-41</v>
      </c>
      <c r="AW74" s="135">
        <f t="shared" si="25"/>
        <v>0.14996848355023754</v>
      </c>
      <c r="AX74" s="151">
        <f t="shared" si="26"/>
        <v>1E-13</v>
      </c>
      <c r="AY74" s="136">
        <f t="shared" si="27"/>
        <v>1E-13</v>
      </c>
      <c r="AZ74" s="41"/>
      <c r="BA74" s="160">
        <f t="shared" si="54"/>
        <v>87.42787611677464</v>
      </c>
      <c r="BB74" s="161">
        <f t="shared" si="55"/>
        <v>69.74249192990912</v>
      </c>
    </row>
    <row r="75" spans="2:54" ht="12">
      <c r="B75" s="58">
        <v>695</v>
      </c>
      <c r="C75" s="59">
        <v>0.01584</v>
      </c>
      <c r="D75" s="59">
        <v>0.005723</v>
      </c>
      <c r="E75" s="60">
        <v>0</v>
      </c>
      <c r="F75" s="59">
        <v>0.013842</v>
      </c>
      <c r="G75" s="60">
        <v>0.0053751</v>
      </c>
      <c r="H75" s="59">
        <v>0</v>
      </c>
      <c r="I75" s="153">
        <f t="shared" si="50"/>
        <v>195.06034614189565</v>
      </c>
      <c r="J75" s="62">
        <v>100.38</v>
      </c>
      <c r="K75" s="63">
        <v>78.24</v>
      </c>
      <c r="L75" s="62">
        <f t="shared" si="53"/>
        <v>89.54247206319837</v>
      </c>
      <c r="M75" s="63">
        <v>100</v>
      </c>
      <c r="N75" s="63">
        <v>1.27</v>
      </c>
      <c r="O75" s="62">
        <v>4.57</v>
      </c>
      <c r="P75" s="63">
        <v>1.2</v>
      </c>
      <c r="Q75" s="61">
        <f t="shared" si="51"/>
        <v>93.09178644773796</v>
      </c>
      <c r="R75" s="63">
        <v>73.1</v>
      </c>
      <c r="S75" s="62">
        <v>-12.65</v>
      </c>
      <c r="T75" s="63">
        <v>8.95</v>
      </c>
      <c r="U75" s="80">
        <f>AVERAGE(U74,U76)</f>
        <v>3.0445</v>
      </c>
      <c r="V75" s="65">
        <v>-10</v>
      </c>
      <c r="W75" s="66">
        <v>-10</v>
      </c>
      <c r="X75" s="143">
        <f>AVERAGE(X74,X76)</f>
        <v>2.5795</v>
      </c>
      <c r="Y75" s="144">
        <f t="shared" si="47"/>
        <v>-16.270999999999997</v>
      </c>
      <c r="Z75" s="143">
        <f t="shared" si="37"/>
        <v>-27.134999999999984</v>
      </c>
      <c r="AA75" s="144">
        <f>AVERAGE(AA74,AA76)</f>
        <v>1.9375</v>
      </c>
      <c r="AB75" s="143">
        <v>-10</v>
      </c>
      <c r="AC75" s="144">
        <v>-10</v>
      </c>
      <c r="AD75" s="143">
        <f>AVERAGE(AD74,AD76)</f>
        <v>3.295</v>
      </c>
      <c r="AE75" s="144">
        <f t="shared" si="49"/>
        <v>-9.129999999999997</v>
      </c>
      <c r="AF75" s="143">
        <f t="shared" si="40"/>
        <v>-38.84800000000003</v>
      </c>
      <c r="AG75" s="144">
        <f>AVERAGE(AG74,AG76)</f>
        <v>1.9375</v>
      </c>
      <c r="AH75" s="143">
        <v>-10</v>
      </c>
      <c r="AI75" s="145">
        <v>-10</v>
      </c>
      <c r="AJ75" s="46"/>
      <c r="AK75" s="152">
        <f t="shared" si="52"/>
        <v>1.1078985653742897</v>
      </c>
      <c r="AL75" s="153">
        <f t="shared" si="14"/>
        <v>1E-13</v>
      </c>
      <c r="AM75" s="154">
        <f t="shared" si="15"/>
        <v>1E-13</v>
      </c>
      <c r="AN75" s="153">
        <f t="shared" si="16"/>
        <v>0.3797519389713331</v>
      </c>
      <c r="AO75" s="154">
        <f t="shared" si="17"/>
        <v>5.357966575133426E-20</v>
      </c>
      <c r="AP75" s="153">
        <f t="shared" si="18"/>
        <v>7.328245331389274E-31</v>
      </c>
      <c r="AQ75" s="154">
        <f t="shared" si="19"/>
        <v>0.08659643233600654</v>
      </c>
      <c r="AR75" s="153">
        <f t="shared" si="20"/>
        <v>1E-13</v>
      </c>
      <c r="AS75" s="154">
        <f t="shared" si="21"/>
        <v>1E-13</v>
      </c>
      <c r="AT75" s="153">
        <f t="shared" si="22"/>
        <v>1.9724227361148547</v>
      </c>
      <c r="AU75" s="154">
        <f t="shared" si="23"/>
        <v>7.413102413009216E-13</v>
      </c>
      <c r="AV75" s="153">
        <f t="shared" si="24"/>
        <v>1.4190575216889856E-42</v>
      </c>
      <c r="AW75" s="154">
        <f t="shared" si="25"/>
        <v>0.08659643233600654</v>
      </c>
      <c r="AX75" s="153">
        <f t="shared" si="26"/>
        <v>1E-13</v>
      </c>
      <c r="AY75" s="155">
        <f t="shared" si="27"/>
        <v>1E-13</v>
      </c>
      <c r="AZ75" s="41"/>
      <c r="BA75" s="162">
        <f t="shared" si="54"/>
        <v>89.54247206319837</v>
      </c>
      <c r="BB75" s="163">
        <f t="shared" si="55"/>
        <v>70.68764279948225</v>
      </c>
    </row>
    <row r="76" spans="2:54" ht="12">
      <c r="B76" s="49">
        <v>700</v>
      </c>
      <c r="C76" s="50">
        <v>0.01135916</v>
      </c>
      <c r="D76" s="50">
        <v>0.004102</v>
      </c>
      <c r="E76" s="51">
        <v>0</v>
      </c>
      <c r="F76" s="50">
        <v>0.00957688</v>
      </c>
      <c r="G76" s="51">
        <v>0.00371774</v>
      </c>
      <c r="H76" s="50">
        <v>0</v>
      </c>
      <c r="I76" s="135">
        <f t="shared" si="50"/>
        <v>198.20066009267015</v>
      </c>
      <c r="J76" s="52">
        <v>99.1</v>
      </c>
      <c r="K76" s="53">
        <v>76.3</v>
      </c>
      <c r="L76" s="52">
        <f t="shared" si="53"/>
        <v>91.65706800962211</v>
      </c>
      <c r="M76" s="53">
        <v>100</v>
      </c>
      <c r="N76" s="53">
        <v>1.1</v>
      </c>
      <c r="O76" s="52">
        <v>4.12</v>
      </c>
      <c r="P76" s="53">
        <v>1.35</v>
      </c>
      <c r="Q76" s="42">
        <f t="shared" si="51"/>
        <v>92.55502482840123</v>
      </c>
      <c r="R76" s="53">
        <v>74.3</v>
      </c>
      <c r="S76" s="52">
        <v>-13.3</v>
      </c>
      <c r="T76" s="53">
        <v>9.6</v>
      </c>
      <c r="U76" s="67">
        <v>2.901</v>
      </c>
      <c r="V76" s="47">
        <v>-10</v>
      </c>
      <c r="W76" s="46">
        <v>-10</v>
      </c>
      <c r="X76" s="140">
        <v>2.383</v>
      </c>
      <c r="Y76" s="138">
        <f t="shared" si="47"/>
        <v>-17.121</v>
      </c>
      <c r="Z76" s="140">
        <f t="shared" si="37"/>
        <v>-27.834999999999983</v>
      </c>
      <c r="AA76" s="138">
        <v>1.699</v>
      </c>
      <c r="AB76" s="140">
        <v>-10</v>
      </c>
      <c r="AC76" s="138">
        <v>-10</v>
      </c>
      <c r="AD76" s="140">
        <v>3.099</v>
      </c>
      <c r="AE76" s="138">
        <f t="shared" si="49"/>
        <v>-9.729999999999997</v>
      </c>
      <c r="AF76" s="140">
        <f t="shared" si="40"/>
        <v>-39.94800000000003</v>
      </c>
      <c r="AG76" s="138">
        <v>1.699</v>
      </c>
      <c r="AH76" s="140">
        <v>-10</v>
      </c>
      <c r="AI76" s="142">
        <v>-10</v>
      </c>
      <c r="AJ76" s="46"/>
      <c r="AK76" s="149">
        <f t="shared" si="52"/>
        <v>0.7961593504173191</v>
      </c>
      <c r="AL76" s="151">
        <f t="shared" si="14"/>
        <v>1E-13</v>
      </c>
      <c r="AM76" s="135">
        <f t="shared" si="15"/>
        <v>1E-13</v>
      </c>
      <c r="AN76" s="151">
        <f t="shared" si="16"/>
        <v>0.24154608344449421</v>
      </c>
      <c r="AO76" s="135">
        <f t="shared" si="17"/>
        <v>7.568328950209712E-21</v>
      </c>
      <c r="AP76" s="151">
        <f t="shared" si="18"/>
        <v>1.4621771744567743E-31</v>
      </c>
      <c r="AQ76" s="135">
        <f t="shared" si="19"/>
        <v>0.05000345349769787</v>
      </c>
      <c r="AR76" s="151">
        <f t="shared" si="20"/>
        <v>1E-13</v>
      </c>
      <c r="AS76" s="135">
        <f t="shared" si="21"/>
        <v>1E-13</v>
      </c>
      <c r="AT76" s="151">
        <f t="shared" si="22"/>
        <v>1.2560299636948757</v>
      </c>
      <c r="AU76" s="135">
        <f t="shared" si="23"/>
        <v>1.8620871366628752E-13</v>
      </c>
      <c r="AV76" s="151">
        <f t="shared" si="24"/>
        <v>1.1271974561754216E-43</v>
      </c>
      <c r="AW76" s="135">
        <f t="shared" si="25"/>
        <v>0.05000345349769787</v>
      </c>
      <c r="AX76" s="151">
        <f t="shared" si="26"/>
        <v>1E-13</v>
      </c>
      <c r="AY76" s="136">
        <f t="shared" si="27"/>
        <v>1E-13</v>
      </c>
      <c r="AZ76" s="41"/>
      <c r="BA76" s="160">
        <f t="shared" si="54"/>
        <v>91.65706800962211</v>
      </c>
      <c r="BB76" s="161">
        <f t="shared" si="55"/>
        <v>71.63279366905537</v>
      </c>
    </row>
    <row r="77" spans="2:54" ht="12">
      <c r="B77" s="49">
        <v>705</v>
      </c>
      <c r="C77" s="50">
        <v>0.008110916</v>
      </c>
      <c r="D77" s="50">
        <v>0.002929</v>
      </c>
      <c r="E77" s="51">
        <v>0</v>
      </c>
      <c r="F77" s="50">
        <v>0.0066052</v>
      </c>
      <c r="G77" s="51">
        <v>0.00256456</v>
      </c>
      <c r="H77" s="50">
        <v>0</v>
      </c>
      <c r="I77" s="135">
        <f t="shared" si="50"/>
        <v>201.29531549897527</v>
      </c>
      <c r="J77" s="52">
        <v>97.7</v>
      </c>
      <c r="K77" s="53">
        <v>74.36</v>
      </c>
      <c r="L77" s="52">
        <f t="shared" si="53"/>
        <v>92.29729164423041</v>
      </c>
      <c r="M77" s="53">
        <v>100</v>
      </c>
      <c r="N77" s="53">
        <v>0.99</v>
      </c>
      <c r="O77" s="52">
        <v>3.77</v>
      </c>
      <c r="P77" s="53">
        <v>4.1</v>
      </c>
      <c r="Q77" s="42">
        <f t="shared" si="51"/>
        <v>92.00693348999076</v>
      </c>
      <c r="R77" s="53">
        <v>75.35</v>
      </c>
      <c r="S77" s="52">
        <v>-13.1</v>
      </c>
      <c r="T77" s="53">
        <v>9.05</v>
      </c>
      <c r="U77" s="67">
        <f>AVERAGE(U76,U78)</f>
        <v>2.7615</v>
      </c>
      <c r="V77" s="47">
        <v>-10</v>
      </c>
      <c r="W77" s="46">
        <v>-10</v>
      </c>
      <c r="X77" s="140">
        <f>AVERAGE(X76,X78)</f>
        <v>2.1765</v>
      </c>
      <c r="Y77" s="138">
        <f t="shared" si="47"/>
        <v>-17.971</v>
      </c>
      <c r="Z77" s="140">
        <f t="shared" si="37"/>
        <v>-28.534999999999982</v>
      </c>
      <c r="AA77" s="138">
        <f>AVERAGE(AA76,AA78)</f>
        <v>1.3495</v>
      </c>
      <c r="AB77" s="140">
        <v>-10</v>
      </c>
      <c r="AC77" s="138">
        <v>-10</v>
      </c>
      <c r="AD77" s="140">
        <f>AVERAGE(AD76,AD78)</f>
        <v>2.893</v>
      </c>
      <c r="AE77" s="138">
        <f t="shared" si="49"/>
        <v>-10.329999999999997</v>
      </c>
      <c r="AF77" s="140">
        <f t="shared" si="40"/>
        <v>-41.04800000000003</v>
      </c>
      <c r="AG77" s="138">
        <f>AVERAGE(AG76,AG78)</f>
        <v>1.3495</v>
      </c>
      <c r="AH77" s="140">
        <v>-10</v>
      </c>
      <c r="AI77" s="142">
        <v>-10</v>
      </c>
      <c r="AJ77" s="46"/>
      <c r="AK77" s="149">
        <f t="shared" si="52"/>
        <v>0.5774308727139857</v>
      </c>
      <c r="AL77" s="151">
        <f t="shared" si="14"/>
        <v>1E-13</v>
      </c>
      <c r="AM77" s="135">
        <f t="shared" si="15"/>
        <v>1E-13</v>
      </c>
      <c r="AN77" s="151">
        <f t="shared" si="16"/>
        <v>0.1501412405754138</v>
      </c>
      <c r="AO77" s="135">
        <f t="shared" si="17"/>
        <v>1.0690548792226546E-21</v>
      </c>
      <c r="AP77" s="151">
        <f t="shared" si="18"/>
        <v>2.9174270140012575E-32</v>
      </c>
      <c r="AQ77" s="135">
        <f t="shared" si="19"/>
        <v>0.022361451987225216</v>
      </c>
      <c r="AR77" s="151">
        <f t="shared" si="20"/>
        <v>1E-13</v>
      </c>
      <c r="AS77" s="135">
        <f t="shared" si="21"/>
        <v>1E-13</v>
      </c>
      <c r="AT77" s="151">
        <f t="shared" si="22"/>
        <v>0.7816278045883298</v>
      </c>
      <c r="AU77" s="135">
        <f t="shared" si="23"/>
        <v>4.677351412872011E-14</v>
      </c>
      <c r="AV77" s="151">
        <f t="shared" si="24"/>
        <v>8.9536476554952E-45</v>
      </c>
      <c r="AW77" s="135">
        <f t="shared" si="25"/>
        <v>0.022361451987225216</v>
      </c>
      <c r="AX77" s="151">
        <f t="shared" si="26"/>
        <v>1E-13</v>
      </c>
      <c r="AY77" s="136">
        <f t="shared" si="27"/>
        <v>1E-13</v>
      </c>
      <c r="AZ77" s="41"/>
      <c r="BA77" s="160">
        <f t="shared" si="54"/>
        <v>92.29729164423041</v>
      </c>
      <c r="BB77" s="161">
        <f t="shared" si="55"/>
        <v>73.00217895735602</v>
      </c>
    </row>
    <row r="78" spans="2:54" ht="12">
      <c r="B78" s="49">
        <v>710</v>
      </c>
      <c r="C78" s="50">
        <v>0.005790346</v>
      </c>
      <c r="D78" s="50">
        <v>0.002091</v>
      </c>
      <c r="E78" s="51">
        <v>0</v>
      </c>
      <c r="F78" s="50">
        <v>0.00455263</v>
      </c>
      <c r="G78" s="51">
        <v>0.00176847</v>
      </c>
      <c r="H78" s="50">
        <v>0</v>
      </c>
      <c r="I78" s="135">
        <f t="shared" si="50"/>
        <v>204.34305897776082</v>
      </c>
      <c r="J78" s="52">
        <v>96.2</v>
      </c>
      <c r="K78" s="53">
        <v>72.4</v>
      </c>
      <c r="L78" s="52">
        <f t="shared" si="53"/>
        <v>92.93751527883873</v>
      </c>
      <c r="M78" s="53">
        <v>100</v>
      </c>
      <c r="N78" s="53">
        <v>0.88</v>
      </c>
      <c r="O78" s="52">
        <v>3.46</v>
      </c>
      <c r="P78" s="53">
        <v>5.58</v>
      </c>
      <c r="Q78" s="42">
        <f t="shared" si="51"/>
        <v>91.44822847010519</v>
      </c>
      <c r="R78" s="53">
        <v>76.4</v>
      </c>
      <c r="S78" s="52">
        <v>-12.9</v>
      </c>
      <c r="T78" s="53">
        <v>8.5</v>
      </c>
      <c r="U78" s="67">
        <v>2.622</v>
      </c>
      <c r="V78" s="47">
        <v>-10</v>
      </c>
      <c r="W78" s="46">
        <v>-10</v>
      </c>
      <c r="X78" s="140">
        <v>1.97</v>
      </c>
      <c r="Y78" s="138">
        <f t="shared" si="47"/>
        <v>-18.821</v>
      </c>
      <c r="Z78" s="140">
        <f t="shared" si="37"/>
        <v>-29.23499999999998</v>
      </c>
      <c r="AA78" s="138">
        <v>1</v>
      </c>
      <c r="AB78" s="140">
        <v>-10</v>
      </c>
      <c r="AC78" s="138">
        <v>-10</v>
      </c>
      <c r="AD78" s="140">
        <v>2.687</v>
      </c>
      <c r="AE78" s="138">
        <f t="shared" si="49"/>
        <v>-10.929999999999996</v>
      </c>
      <c r="AF78" s="140">
        <f t="shared" si="40"/>
        <v>-42.14800000000003</v>
      </c>
      <c r="AG78" s="138">
        <v>1</v>
      </c>
      <c r="AH78" s="140">
        <v>-10</v>
      </c>
      <c r="AI78" s="142">
        <v>-10</v>
      </c>
      <c r="AJ78" s="46"/>
      <c r="AK78" s="149">
        <f t="shared" si="52"/>
        <v>0.4187935651179185</v>
      </c>
      <c r="AL78" s="151">
        <f t="shared" si="14"/>
        <v>1E-13</v>
      </c>
      <c r="AM78" s="135">
        <f t="shared" si="15"/>
        <v>1E-13</v>
      </c>
      <c r="AN78" s="151">
        <f t="shared" si="16"/>
        <v>0.09332543007969918</v>
      </c>
      <c r="AO78" s="135">
        <f t="shared" si="17"/>
        <v>1.5100801541641343E-22</v>
      </c>
      <c r="AP78" s="151">
        <f t="shared" si="18"/>
        <v>5.821032177708934E-33</v>
      </c>
      <c r="AQ78" s="135">
        <f t="shared" si="19"/>
        <v>0.01</v>
      </c>
      <c r="AR78" s="151">
        <f t="shared" si="20"/>
        <v>1E-13</v>
      </c>
      <c r="AS78" s="135">
        <f t="shared" si="21"/>
        <v>1E-13</v>
      </c>
      <c r="AT78" s="151">
        <f t="shared" si="22"/>
        <v>0.4864072056914619</v>
      </c>
      <c r="AU78" s="135">
        <f t="shared" si="23"/>
        <v>1.1748975549395353E-14</v>
      </c>
      <c r="AV78" s="151">
        <f t="shared" si="24"/>
        <v>7.112135136532677E-46</v>
      </c>
      <c r="AW78" s="135">
        <f t="shared" si="25"/>
        <v>0.01</v>
      </c>
      <c r="AX78" s="151">
        <f t="shared" si="26"/>
        <v>1E-13</v>
      </c>
      <c r="AY78" s="136">
        <f t="shared" si="27"/>
        <v>1E-13</v>
      </c>
      <c r="AZ78" s="41"/>
      <c r="BA78" s="160">
        <f t="shared" si="54"/>
        <v>92.93751527883873</v>
      </c>
      <c r="BB78" s="161">
        <f t="shared" si="55"/>
        <v>74.37156424565671</v>
      </c>
    </row>
    <row r="79" spans="2:54" ht="12">
      <c r="B79" s="49">
        <v>715</v>
      </c>
      <c r="C79" s="50">
        <v>0.004109457</v>
      </c>
      <c r="D79" s="50">
        <v>0.001484</v>
      </c>
      <c r="E79" s="51">
        <v>0</v>
      </c>
      <c r="F79" s="50">
        <v>0.0031447</v>
      </c>
      <c r="G79" s="51">
        <v>0.00122239</v>
      </c>
      <c r="H79" s="50">
        <v>0</v>
      </c>
      <c r="I79" s="135">
        <f t="shared" si="50"/>
        <v>207.34272044482177</v>
      </c>
      <c r="J79" s="52">
        <v>94.6</v>
      </c>
      <c r="K79" s="53">
        <v>70.4</v>
      </c>
      <c r="L79" s="52">
        <f t="shared" si="53"/>
        <v>84.91608367818988</v>
      </c>
      <c r="M79" s="53">
        <v>100</v>
      </c>
      <c r="N79" s="53">
        <v>0.76</v>
      </c>
      <c r="O79" s="52">
        <v>3.08</v>
      </c>
      <c r="P79" s="53">
        <v>2.51</v>
      </c>
      <c r="Q79" s="42">
        <f t="shared" si="51"/>
        <v>90.87960191541008</v>
      </c>
      <c r="R79" s="53">
        <v>69.85</v>
      </c>
      <c r="S79" s="52">
        <v>-11.75</v>
      </c>
      <c r="T79" s="53">
        <v>7.75</v>
      </c>
      <c r="U79" s="67">
        <f>AVERAGE(U78,U80)</f>
        <v>2.4779999999999998</v>
      </c>
      <c r="V79" s="47">
        <v>-10</v>
      </c>
      <c r="W79" s="46">
        <v>-10</v>
      </c>
      <c r="X79" s="140">
        <f>AVERAGE(X78,X80)</f>
        <v>1.7605</v>
      </c>
      <c r="Y79" s="138">
        <f t="shared" si="47"/>
        <v>-19.671000000000003</v>
      </c>
      <c r="Z79" s="140">
        <f t="shared" si="37"/>
        <v>-29.93499999999998</v>
      </c>
      <c r="AA79" s="138">
        <f>AVERAGE(AA78,AA80)</f>
        <v>-4.5</v>
      </c>
      <c r="AB79" s="140">
        <v>-10</v>
      </c>
      <c r="AC79" s="138">
        <v>-10</v>
      </c>
      <c r="AD79" s="140">
        <f>AVERAGE(AD78,AD80)</f>
        <v>2.4779999999999998</v>
      </c>
      <c r="AE79" s="138">
        <f t="shared" si="49"/>
        <v>-11.529999999999996</v>
      </c>
      <c r="AF79" s="140">
        <f t="shared" si="40"/>
        <v>-43.24800000000003</v>
      </c>
      <c r="AG79" s="138">
        <f>AVERAGE(AG78,AG80)</f>
        <v>0.5</v>
      </c>
      <c r="AH79" s="140">
        <v>-10</v>
      </c>
      <c r="AI79" s="142">
        <v>-10</v>
      </c>
      <c r="AJ79" s="46"/>
      <c r="AK79" s="149">
        <f t="shared" si="52"/>
        <v>0.300607630262823</v>
      </c>
      <c r="AL79" s="151">
        <f t="shared" si="14"/>
        <v>1E-13</v>
      </c>
      <c r="AM79" s="135">
        <f t="shared" si="15"/>
        <v>1E-13</v>
      </c>
      <c r="AN79" s="151">
        <f t="shared" si="16"/>
        <v>0.05761028185598563</v>
      </c>
      <c r="AO79" s="135">
        <f t="shared" si="17"/>
        <v>2.133044913146559E-23</v>
      </c>
      <c r="AP79" s="151">
        <f t="shared" si="18"/>
        <v>1.1614486138403944E-33</v>
      </c>
      <c r="AQ79" s="135">
        <f t="shared" si="19"/>
        <v>3.1622776601683746E-08</v>
      </c>
      <c r="AR79" s="151">
        <f t="shared" si="20"/>
        <v>1E-13</v>
      </c>
      <c r="AS79" s="135">
        <f t="shared" si="21"/>
        <v>1E-13</v>
      </c>
      <c r="AT79" s="151">
        <f t="shared" si="22"/>
        <v>0.300607630262823</v>
      </c>
      <c r="AU79" s="135">
        <f t="shared" si="23"/>
        <v>2.951209226666407E-15</v>
      </c>
      <c r="AV79" s="151">
        <f t="shared" si="24"/>
        <v>5.649369748122518E-47</v>
      </c>
      <c r="AW79" s="135">
        <f t="shared" si="25"/>
        <v>0.0031622776601683794</v>
      </c>
      <c r="AX79" s="151">
        <f t="shared" si="26"/>
        <v>1E-13</v>
      </c>
      <c r="AY79" s="136">
        <f t="shared" si="27"/>
        <v>1E-13</v>
      </c>
      <c r="AZ79" s="41"/>
      <c r="BA79" s="160">
        <f t="shared" si="54"/>
        <v>84.91608367818988</v>
      </c>
      <c r="BB79" s="161">
        <f t="shared" si="55"/>
        <v>67.99705668729536</v>
      </c>
    </row>
    <row r="80" spans="2:54" ht="12">
      <c r="B80" s="49">
        <v>720</v>
      </c>
      <c r="C80" s="50">
        <v>0.002899327</v>
      </c>
      <c r="D80" s="50">
        <v>0.001047</v>
      </c>
      <c r="E80" s="51">
        <v>0</v>
      </c>
      <c r="F80" s="50">
        <v>0.00217496</v>
      </c>
      <c r="G80" s="51">
        <v>0.00084619</v>
      </c>
      <c r="H80" s="50">
        <v>0</v>
      </c>
      <c r="I80" s="135">
        <f t="shared" si="50"/>
        <v>210.29321154546363</v>
      </c>
      <c r="J80" s="52">
        <v>92.9</v>
      </c>
      <c r="K80" s="53">
        <v>68.3</v>
      </c>
      <c r="L80" s="52">
        <f t="shared" si="53"/>
        <v>76.89465207754102</v>
      </c>
      <c r="M80" s="53">
        <v>100</v>
      </c>
      <c r="N80" s="53">
        <v>0.68</v>
      </c>
      <c r="O80" s="52">
        <v>2.73</v>
      </c>
      <c r="P80" s="53">
        <v>0.57</v>
      </c>
      <c r="Q80" s="42">
        <f t="shared" si="51"/>
        <v>90.30172248329441</v>
      </c>
      <c r="R80" s="53">
        <v>63.3</v>
      </c>
      <c r="S80" s="52">
        <v>-10.6</v>
      </c>
      <c r="T80" s="53">
        <v>7</v>
      </c>
      <c r="U80" s="67">
        <v>2.334</v>
      </c>
      <c r="V80" s="47">
        <v>-10</v>
      </c>
      <c r="W80" s="46">
        <v>-10</v>
      </c>
      <c r="X80" s="140">
        <v>1.551</v>
      </c>
      <c r="Y80" s="138">
        <f t="shared" si="47"/>
        <v>-20.521000000000004</v>
      </c>
      <c r="Z80" s="140">
        <f t="shared" si="37"/>
        <v>-30.63499999999998</v>
      </c>
      <c r="AA80" s="138">
        <v>-10</v>
      </c>
      <c r="AB80" s="140">
        <v>-10</v>
      </c>
      <c r="AC80" s="138">
        <v>-10</v>
      </c>
      <c r="AD80" s="140">
        <v>2.269</v>
      </c>
      <c r="AE80" s="138">
        <f t="shared" si="49"/>
        <v>-12.129999999999995</v>
      </c>
      <c r="AF80" s="140">
        <f t="shared" si="40"/>
        <v>-44.348000000000035</v>
      </c>
      <c r="AG80" s="138">
        <v>0</v>
      </c>
      <c r="AH80" s="140">
        <v>-10</v>
      </c>
      <c r="AI80" s="142">
        <v>-10</v>
      </c>
      <c r="AJ80" s="46"/>
      <c r="AK80" s="149">
        <f t="shared" si="52"/>
        <v>0.21577444091526687</v>
      </c>
      <c r="AL80" s="151">
        <f t="shared" si="14"/>
        <v>1E-13</v>
      </c>
      <c r="AM80" s="135">
        <f t="shared" si="15"/>
        <v>1E-13</v>
      </c>
      <c r="AN80" s="151">
        <f t="shared" si="16"/>
        <v>0.035563131856898536</v>
      </c>
      <c r="AO80" s="135">
        <f t="shared" si="17"/>
        <v>3.013006024186078E-24</v>
      </c>
      <c r="AP80" s="151">
        <f t="shared" si="18"/>
        <v>2.3173946499685642E-34</v>
      </c>
      <c r="AQ80" s="135">
        <f t="shared" si="19"/>
        <v>1E-13</v>
      </c>
      <c r="AR80" s="151">
        <f t="shared" si="20"/>
        <v>1E-13</v>
      </c>
      <c r="AS80" s="135">
        <f t="shared" si="21"/>
        <v>1E-13</v>
      </c>
      <c r="AT80" s="151">
        <f t="shared" si="22"/>
        <v>0.18578044550916997</v>
      </c>
      <c r="AU80" s="135">
        <f t="shared" si="23"/>
        <v>7.413102413009243E-16</v>
      </c>
      <c r="AV80" s="151">
        <f t="shared" si="24"/>
        <v>4.4874538993309015E-48</v>
      </c>
      <c r="AW80" s="135">
        <f t="shared" si="25"/>
        <v>0.001</v>
      </c>
      <c r="AX80" s="151">
        <f t="shared" si="26"/>
        <v>1E-13</v>
      </c>
      <c r="AY80" s="136">
        <f t="shared" si="27"/>
        <v>1E-13</v>
      </c>
      <c r="AZ80" s="41"/>
      <c r="BA80" s="160">
        <f t="shared" si="54"/>
        <v>76.89465207754102</v>
      </c>
      <c r="BB80" s="161">
        <f t="shared" si="55"/>
        <v>61.62254912893402</v>
      </c>
    </row>
    <row r="81" spans="2:54" ht="12">
      <c r="B81" s="49">
        <v>725</v>
      </c>
      <c r="C81" s="50">
        <v>0.00204919</v>
      </c>
      <c r="D81" s="50">
        <v>0.00074</v>
      </c>
      <c r="E81" s="51">
        <v>0</v>
      </c>
      <c r="F81" s="50">
        <v>0.0015057</v>
      </c>
      <c r="G81" s="51">
        <v>0.00058644</v>
      </c>
      <c r="H81" s="50">
        <v>0</v>
      </c>
      <c r="I81" s="135">
        <f t="shared" si="50"/>
        <v>213.19352399171282</v>
      </c>
      <c r="J81" s="52">
        <v>91.1</v>
      </c>
      <c r="K81" s="53">
        <v>66.3</v>
      </c>
      <c r="L81" s="52">
        <f t="shared" si="53"/>
        <v>81.72483757635503</v>
      </c>
      <c r="M81" s="53">
        <v>100</v>
      </c>
      <c r="N81" s="53">
        <v>0.61</v>
      </c>
      <c r="O81" s="52">
        <v>2.47</v>
      </c>
      <c r="P81" s="53">
        <v>0.27</v>
      </c>
      <c r="Q81" s="42">
        <f t="shared" si="51"/>
        <v>89.71523576452697</v>
      </c>
      <c r="R81" s="53">
        <v>67.5</v>
      </c>
      <c r="S81" s="52">
        <v>-11.1</v>
      </c>
      <c r="T81" s="53">
        <v>7.3</v>
      </c>
      <c r="U81" s="67">
        <f>AVERAGE(U80,U82)</f>
        <v>2.1875</v>
      </c>
      <c r="V81" s="47">
        <v>-10</v>
      </c>
      <c r="W81" s="46">
        <v>-10</v>
      </c>
      <c r="X81" s="140">
        <f>AVERAGE(X80,X82)</f>
        <v>1.346</v>
      </c>
      <c r="Y81" s="138">
        <f t="shared" si="47"/>
        <v>-21.371000000000006</v>
      </c>
      <c r="Z81" s="140">
        <f t="shared" si="37"/>
        <v>-31.33499999999998</v>
      </c>
      <c r="AA81" s="138">
        <v>-10</v>
      </c>
      <c r="AB81" s="140">
        <v>-10</v>
      </c>
      <c r="AC81" s="138">
        <v>-10</v>
      </c>
      <c r="AD81" s="140">
        <f>AVERAGE(AD80,AD82)</f>
        <v>2.064</v>
      </c>
      <c r="AE81" s="138">
        <f t="shared" si="49"/>
        <v>-12.729999999999995</v>
      </c>
      <c r="AF81" s="140">
        <f t="shared" si="40"/>
        <v>-45.448000000000036</v>
      </c>
      <c r="AG81" s="138">
        <v>-10</v>
      </c>
      <c r="AH81" s="140">
        <v>-10</v>
      </c>
      <c r="AI81" s="142">
        <v>-10</v>
      </c>
      <c r="AJ81" s="46"/>
      <c r="AK81" s="149">
        <f t="shared" si="52"/>
        <v>0.15399265260594927</v>
      </c>
      <c r="AL81" s="151">
        <f t="shared" si="14"/>
        <v>1E-13</v>
      </c>
      <c r="AM81" s="135">
        <f t="shared" si="15"/>
        <v>1E-13</v>
      </c>
      <c r="AN81" s="151">
        <f t="shared" si="16"/>
        <v>0.022181964198002196</v>
      </c>
      <c r="AO81" s="135">
        <f t="shared" si="17"/>
        <v>4.255984131337344E-25</v>
      </c>
      <c r="AP81" s="151">
        <f t="shared" si="18"/>
        <v>4.6238102139928037E-35</v>
      </c>
      <c r="AQ81" s="135">
        <f t="shared" si="19"/>
        <v>1E-13</v>
      </c>
      <c r="AR81" s="151">
        <f t="shared" si="20"/>
        <v>1E-13</v>
      </c>
      <c r="AS81" s="135">
        <f t="shared" si="21"/>
        <v>1E-13</v>
      </c>
      <c r="AT81" s="151">
        <f t="shared" si="22"/>
        <v>0.1158777356155127</v>
      </c>
      <c r="AU81" s="135">
        <f t="shared" si="23"/>
        <v>1.8620871366628823E-16</v>
      </c>
      <c r="AV81" s="151">
        <f t="shared" si="24"/>
        <v>3.564511334262095E-49</v>
      </c>
      <c r="AW81" s="135">
        <f t="shared" si="25"/>
        <v>1E-13</v>
      </c>
      <c r="AX81" s="151">
        <f t="shared" si="26"/>
        <v>1E-13</v>
      </c>
      <c r="AY81" s="136">
        <f t="shared" si="27"/>
        <v>1E-13</v>
      </c>
      <c r="AZ81" s="41"/>
      <c r="BA81" s="160">
        <f t="shared" si="54"/>
        <v>81.72483757635503</v>
      </c>
      <c r="BB81" s="161">
        <f t="shared" si="55"/>
        <v>65.76420857701011</v>
      </c>
    </row>
    <row r="82" spans="2:54" ht="12">
      <c r="B82" s="49">
        <v>730</v>
      </c>
      <c r="C82" s="50">
        <v>0.001439971</v>
      </c>
      <c r="D82" s="50">
        <v>0.00052</v>
      </c>
      <c r="E82" s="51">
        <v>0</v>
      </c>
      <c r="F82" s="50">
        <v>0.00104476</v>
      </c>
      <c r="G82" s="51">
        <v>0.00040741</v>
      </c>
      <c r="H82" s="50">
        <v>0</v>
      </c>
      <c r="I82" s="135">
        <f t="shared" si="50"/>
        <v>216.04272781712766</v>
      </c>
      <c r="J82" s="52">
        <v>89.4</v>
      </c>
      <c r="K82" s="53">
        <v>64.4</v>
      </c>
      <c r="L82" s="52">
        <f t="shared" si="53"/>
        <v>86.55502307516902</v>
      </c>
      <c r="M82" s="53">
        <v>100</v>
      </c>
      <c r="N82" s="53">
        <v>0.56</v>
      </c>
      <c r="O82" s="52">
        <v>2.25</v>
      </c>
      <c r="P82" s="53">
        <v>0.23</v>
      </c>
      <c r="Q82" s="42">
        <f t="shared" si="51"/>
        <v>89.12076472384867</v>
      </c>
      <c r="R82" s="53">
        <v>71.7</v>
      </c>
      <c r="S82" s="52">
        <v>-11.6</v>
      </c>
      <c r="T82" s="53">
        <v>7.6</v>
      </c>
      <c r="U82" s="67">
        <v>2.041</v>
      </c>
      <c r="V82" s="47">
        <v>-10</v>
      </c>
      <c r="W82" s="46">
        <v>-10</v>
      </c>
      <c r="X82" s="140">
        <v>1.141</v>
      </c>
      <c r="Y82" s="138">
        <f t="shared" si="47"/>
        <v>-22.221000000000007</v>
      </c>
      <c r="Z82" s="140">
        <f t="shared" si="37"/>
        <v>-32.03499999999998</v>
      </c>
      <c r="AA82" s="138">
        <v>-10</v>
      </c>
      <c r="AB82" s="140">
        <v>-10</v>
      </c>
      <c r="AC82" s="138">
        <v>-10</v>
      </c>
      <c r="AD82" s="140">
        <v>1.859</v>
      </c>
      <c r="AE82" s="138">
        <f t="shared" si="49"/>
        <v>-13.329999999999995</v>
      </c>
      <c r="AF82" s="140">
        <f t="shared" si="40"/>
        <v>-46.54800000000004</v>
      </c>
      <c r="AG82" s="138">
        <v>-10</v>
      </c>
      <c r="AH82" s="140">
        <v>-10</v>
      </c>
      <c r="AI82" s="142">
        <v>-10</v>
      </c>
      <c r="AJ82" s="46"/>
      <c r="AK82" s="149">
        <f t="shared" si="52"/>
        <v>0.10990058394325208</v>
      </c>
      <c r="AL82" s="151">
        <f t="shared" si="14"/>
        <v>1E-13</v>
      </c>
      <c r="AM82" s="135">
        <f t="shared" si="15"/>
        <v>1E-13</v>
      </c>
      <c r="AN82" s="151">
        <f t="shared" si="16"/>
        <v>0.013835663789717817</v>
      </c>
      <c r="AO82" s="135">
        <f t="shared" si="17"/>
        <v>6.011737374832665E-26</v>
      </c>
      <c r="AP82" s="151">
        <f t="shared" si="18"/>
        <v>9.225714271547964E-36</v>
      </c>
      <c r="AQ82" s="135">
        <f t="shared" si="19"/>
        <v>1E-13</v>
      </c>
      <c r="AR82" s="151">
        <f t="shared" si="20"/>
        <v>1E-13</v>
      </c>
      <c r="AS82" s="135">
        <f t="shared" si="21"/>
        <v>1E-13</v>
      </c>
      <c r="AT82" s="151">
        <f t="shared" si="22"/>
        <v>0.07227698036021704</v>
      </c>
      <c r="AU82" s="135">
        <f t="shared" si="23"/>
        <v>4.6773514128720296E-17</v>
      </c>
      <c r="AV82" s="151">
        <f t="shared" si="24"/>
        <v>2.831391995799093E-50</v>
      </c>
      <c r="AW82" s="135">
        <f t="shared" si="25"/>
        <v>1E-13</v>
      </c>
      <c r="AX82" s="151">
        <f t="shared" si="26"/>
        <v>1E-13</v>
      </c>
      <c r="AY82" s="136">
        <f t="shared" si="27"/>
        <v>1E-13</v>
      </c>
      <c r="AZ82" s="41"/>
      <c r="BA82" s="160">
        <f t="shared" si="54"/>
        <v>86.55502307516902</v>
      </c>
      <c r="BB82" s="161">
        <f t="shared" si="55"/>
        <v>69.90586802508619</v>
      </c>
    </row>
    <row r="83" spans="2:54" ht="12">
      <c r="B83" s="49">
        <v>735</v>
      </c>
      <c r="C83" s="50">
        <v>0.0009999493</v>
      </c>
      <c r="D83" s="50">
        <v>0.0003611</v>
      </c>
      <c r="E83" s="51">
        <v>0</v>
      </c>
      <c r="F83" s="50">
        <v>0.00072745</v>
      </c>
      <c r="G83" s="51">
        <v>0.000284041</v>
      </c>
      <c r="H83" s="50">
        <v>0</v>
      </c>
      <c r="I83" s="135">
        <f t="shared" si="50"/>
        <v>218.83996955969954</v>
      </c>
      <c r="J83" s="52">
        <v>88</v>
      </c>
      <c r="K83" s="53">
        <v>62.8</v>
      </c>
      <c r="L83" s="52">
        <f t="shared" si="53"/>
        <v>89.5904693589163</v>
      </c>
      <c r="M83" s="53">
        <v>100</v>
      </c>
      <c r="N83" s="53">
        <v>0.54</v>
      </c>
      <c r="O83" s="52">
        <v>2.06</v>
      </c>
      <c r="P83" s="53">
        <v>0.21</v>
      </c>
      <c r="Q83" s="42">
        <f t="shared" si="51"/>
        <v>88.51891015568144</v>
      </c>
      <c r="R83" s="53">
        <v>74.35</v>
      </c>
      <c r="S83" s="52">
        <v>-11.9</v>
      </c>
      <c r="T83" s="53">
        <v>7.8</v>
      </c>
      <c r="U83" s="67">
        <f>AVERAGE(U82,U84)</f>
        <v>1.8864999999999998</v>
      </c>
      <c r="V83" s="47">
        <v>-10</v>
      </c>
      <c r="W83" s="46">
        <v>-10</v>
      </c>
      <c r="X83" s="140">
        <f>AVERAGE(X82,X84)</f>
        <v>0.9410000000000001</v>
      </c>
      <c r="Y83" s="138">
        <f t="shared" si="47"/>
        <v>-23.07100000000001</v>
      </c>
      <c r="Z83" s="140">
        <f t="shared" si="37"/>
        <v>-32.734999999999985</v>
      </c>
      <c r="AA83" s="138">
        <v>-10</v>
      </c>
      <c r="AB83" s="140">
        <v>-10</v>
      </c>
      <c r="AC83" s="138">
        <v>-10</v>
      </c>
      <c r="AD83" s="140">
        <f>AVERAGE(AD82,AD84)</f>
        <v>1.654</v>
      </c>
      <c r="AE83" s="138">
        <f t="shared" si="49"/>
        <v>-13.929999999999994</v>
      </c>
      <c r="AF83" s="140">
        <f t="shared" si="40"/>
        <v>-47.64800000000004</v>
      </c>
      <c r="AG83" s="138">
        <v>-10</v>
      </c>
      <c r="AH83" s="140">
        <v>-10</v>
      </c>
      <c r="AI83" s="142">
        <v>-10</v>
      </c>
      <c r="AJ83" s="46"/>
      <c r="AK83" s="149">
        <f t="shared" si="52"/>
        <v>0.0770016444356872</v>
      </c>
      <c r="AL83" s="151">
        <f t="shared" si="14"/>
        <v>1E-13</v>
      </c>
      <c r="AM83" s="135">
        <f t="shared" si="15"/>
        <v>1E-13</v>
      </c>
      <c r="AN83" s="151">
        <f t="shared" si="16"/>
        <v>0.008729713683881117</v>
      </c>
      <c r="AO83" s="135">
        <f t="shared" si="17"/>
        <v>8.491804750362921E-27</v>
      </c>
      <c r="AP83" s="151">
        <f t="shared" si="18"/>
        <v>1.840772001469008E-36</v>
      </c>
      <c r="AQ83" s="135">
        <f t="shared" si="19"/>
        <v>1E-13</v>
      </c>
      <c r="AR83" s="151">
        <f t="shared" si="20"/>
        <v>1E-13</v>
      </c>
      <c r="AS83" s="135">
        <f t="shared" si="21"/>
        <v>1E-13</v>
      </c>
      <c r="AT83" s="151">
        <f t="shared" si="22"/>
        <v>0.04508167045414603</v>
      </c>
      <c r="AU83" s="135">
        <f t="shared" si="23"/>
        <v>1.174897554939544E-17</v>
      </c>
      <c r="AV83" s="151">
        <f t="shared" si="24"/>
        <v>2.2490546058355457E-51</v>
      </c>
      <c r="AW83" s="135">
        <f t="shared" si="25"/>
        <v>1E-13</v>
      </c>
      <c r="AX83" s="151">
        <f t="shared" si="26"/>
        <v>1E-13</v>
      </c>
      <c r="AY83" s="136">
        <f t="shared" si="27"/>
        <v>1E-13</v>
      </c>
      <c r="AZ83" s="41"/>
      <c r="BA83" s="160">
        <f t="shared" si="54"/>
        <v>89.5904693589163</v>
      </c>
      <c r="BB83" s="161">
        <f t="shared" si="55"/>
        <v>72.5070939698606</v>
      </c>
    </row>
    <row r="84" spans="2:54" ht="12">
      <c r="B84" s="49">
        <v>740</v>
      </c>
      <c r="C84" s="50">
        <v>0.0006900786</v>
      </c>
      <c r="D84" s="50">
        <v>0.0002492</v>
      </c>
      <c r="E84" s="51">
        <v>0</v>
      </c>
      <c r="F84" s="50">
        <v>0.000508258</v>
      </c>
      <c r="G84" s="51">
        <v>0.00019873</v>
      </c>
      <c r="H84" s="50">
        <v>0</v>
      </c>
      <c r="I84" s="135">
        <f t="shared" si="50"/>
        <v>221.58447038274113</v>
      </c>
      <c r="J84" s="52">
        <v>86.9</v>
      </c>
      <c r="K84" s="53">
        <v>61.5</v>
      </c>
      <c r="L84" s="52">
        <f t="shared" si="53"/>
        <v>92.62591564266359</v>
      </c>
      <c r="M84" s="53">
        <v>100</v>
      </c>
      <c r="N84" s="53">
        <v>0.51</v>
      </c>
      <c r="O84" s="52">
        <v>1.9</v>
      </c>
      <c r="P84" s="53">
        <v>0.24</v>
      </c>
      <c r="Q84" s="42">
        <f t="shared" si="51"/>
        <v>87.91025115236073</v>
      </c>
      <c r="R84" s="53">
        <v>77</v>
      </c>
      <c r="S84" s="52">
        <v>-12.2</v>
      </c>
      <c r="T84" s="53">
        <v>8</v>
      </c>
      <c r="U84" s="67">
        <v>1.732</v>
      </c>
      <c r="V84" s="47">
        <v>-10</v>
      </c>
      <c r="W84" s="46">
        <v>-10</v>
      </c>
      <c r="X84" s="140">
        <v>0.741</v>
      </c>
      <c r="Y84" s="138">
        <f t="shared" si="47"/>
        <v>-23.92100000000001</v>
      </c>
      <c r="Z84" s="140">
        <f t="shared" si="37"/>
        <v>-33.43499999999999</v>
      </c>
      <c r="AA84" s="138">
        <v>-10</v>
      </c>
      <c r="AB84" s="140">
        <v>-10</v>
      </c>
      <c r="AC84" s="138">
        <v>-10</v>
      </c>
      <c r="AD84" s="140">
        <v>1.449</v>
      </c>
      <c r="AE84" s="138">
        <f t="shared" si="49"/>
        <v>-14.529999999999994</v>
      </c>
      <c r="AF84" s="140">
        <f t="shared" si="40"/>
        <v>-48.74800000000004</v>
      </c>
      <c r="AG84" s="138">
        <v>-10</v>
      </c>
      <c r="AH84" s="140">
        <v>-10</v>
      </c>
      <c r="AI84" s="142">
        <v>-10</v>
      </c>
      <c r="AJ84" s="46"/>
      <c r="AK84" s="149">
        <f t="shared" si="52"/>
        <v>0.05395106225151279</v>
      </c>
      <c r="AL84" s="151">
        <f aca="true" t="shared" si="56" ref="AL84:AL102">POWER(10,V84)/1000</f>
        <v>1E-13</v>
      </c>
      <c r="AM84" s="135">
        <f aca="true" t="shared" si="57" ref="AM84:AM102">POWER(10,W84)/1000</f>
        <v>1E-13</v>
      </c>
      <c r="AN84" s="151">
        <f aca="true" t="shared" si="58" ref="AN84:AN102">POWER(10,X84)/1000</f>
        <v>0.005508076964054035</v>
      </c>
      <c r="AO84" s="135">
        <f aca="true" t="shared" si="59" ref="AO84:AO102">POWER(10,Y84)/1000</f>
        <v>1.199499303149341E-27</v>
      </c>
      <c r="AP84" s="151">
        <f aca="true" t="shared" si="60" ref="AP84:AP102">POWER(10,Z84)/1000</f>
        <v>3.672823004980923E-37</v>
      </c>
      <c r="AQ84" s="135">
        <f aca="true" t="shared" si="61" ref="AQ84:AQ102">POWER(10,AA84)/1000</f>
        <v>1E-13</v>
      </c>
      <c r="AR84" s="151">
        <f aca="true" t="shared" si="62" ref="AR84:AR102">POWER(10,AB84)/1000</f>
        <v>1E-13</v>
      </c>
      <c r="AS84" s="135">
        <f aca="true" t="shared" si="63" ref="AS84:AS102">POWER(10,AC84)/1000</f>
        <v>1E-13</v>
      </c>
      <c r="AT84" s="151">
        <f aca="true" t="shared" si="64" ref="AT84:AT102">POWER(10,AD84)/1000</f>
        <v>0.02811900830398942</v>
      </c>
      <c r="AU84" s="135">
        <f aca="true" t="shared" si="65" ref="AU84:AU102">POWER(10,AE84)/1000</f>
        <v>2.9512092266664176E-18</v>
      </c>
      <c r="AV84" s="151">
        <f aca="true" t="shared" si="66" ref="AV84:AV102">POWER(10,AF84)/1000</f>
        <v>1.786487574851857E-52</v>
      </c>
      <c r="AW84" s="135">
        <f aca="true" t="shared" si="67" ref="AW84:AW102">POWER(10,AG84)/1000</f>
        <v>1E-13</v>
      </c>
      <c r="AX84" s="151">
        <f aca="true" t="shared" si="68" ref="AX84:AX102">POWER(10,AH84)/1000</f>
        <v>1E-13</v>
      </c>
      <c r="AY84" s="136">
        <f aca="true" t="shared" si="69" ref="AY84:AY102">POWER(10,AI84)/1000</f>
        <v>1E-13</v>
      </c>
      <c r="AZ84" s="41"/>
      <c r="BA84" s="160">
        <f t="shared" si="54"/>
        <v>92.62591564266359</v>
      </c>
      <c r="BB84" s="161">
        <f t="shared" si="55"/>
        <v>75.10831991463505</v>
      </c>
    </row>
    <row r="85" spans="2:54" ht="12">
      <c r="B85" s="49">
        <v>745</v>
      </c>
      <c r="C85" s="50">
        <v>0.0004760213</v>
      </c>
      <c r="D85" s="50">
        <v>0.0001719</v>
      </c>
      <c r="E85" s="51">
        <v>0</v>
      </c>
      <c r="F85" s="50">
        <v>0.00035638</v>
      </c>
      <c r="G85" s="51">
        <v>0.00013955</v>
      </c>
      <c r="H85" s="50">
        <v>0</v>
      </c>
      <c r="I85" s="135">
        <f t="shared" si="50"/>
        <v>224.27552414309224</v>
      </c>
      <c r="J85" s="52">
        <v>85.9</v>
      </c>
      <c r="K85" s="53">
        <v>60.2</v>
      </c>
      <c r="L85" s="52">
        <f t="shared" si="53"/>
        <v>85.44720718388837</v>
      </c>
      <c r="M85" s="53">
        <v>100</v>
      </c>
      <c r="N85" s="53">
        <v>0.47</v>
      </c>
      <c r="O85" s="52">
        <v>1.75</v>
      </c>
      <c r="P85" s="53">
        <v>0.24</v>
      </c>
      <c r="Q85" s="42">
        <f t="shared" si="51"/>
        <v>87.29534558251363</v>
      </c>
      <c r="R85" s="53">
        <v>71.1</v>
      </c>
      <c r="S85" s="52">
        <v>-11.2</v>
      </c>
      <c r="T85" s="53">
        <v>7.35</v>
      </c>
      <c r="U85" s="67">
        <f>AVERAGE(U84,U86)</f>
        <v>1.5815000000000001</v>
      </c>
      <c r="V85" s="47">
        <v>-10</v>
      </c>
      <c r="W85" s="46">
        <v>-10</v>
      </c>
      <c r="X85" s="140">
        <f>AVERAGE(X84,X86)</f>
        <v>0.541</v>
      </c>
      <c r="Y85" s="138">
        <f t="shared" si="47"/>
        <v>-24.77100000000001</v>
      </c>
      <c r="Z85" s="140">
        <f t="shared" si="37"/>
        <v>-34.13499999999999</v>
      </c>
      <c r="AA85" s="138">
        <v>-10</v>
      </c>
      <c r="AB85" s="140">
        <v>-10</v>
      </c>
      <c r="AC85" s="138">
        <v>-10</v>
      </c>
      <c r="AD85" s="140">
        <f>AVERAGE(AD84,AD86)</f>
        <v>1.2515</v>
      </c>
      <c r="AE85" s="138">
        <f t="shared" si="49"/>
        <v>-15.129999999999994</v>
      </c>
      <c r="AF85" s="140">
        <f t="shared" si="40"/>
        <v>-49.84800000000004</v>
      </c>
      <c r="AG85" s="138">
        <v>-10</v>
      </c>
      <c r="AH85" s="140">
        <v>-10</v>
      </c>
      <c r="AI85" s="142">
        <v>-10</v>
      </c>
      <c r="AJ85" s="46"/>
      <c r="AK85" s="149">
        <f t="shared" si="52"/>
        <v>0.03815047942794386</v>
      </c>
      <c r="AL85" s="151">
        <f t="shared" si="56"/>
        <v>1E-13</v>
      </c>
      <c r="AM85" s="135">
        <f t="shared" si="57"/>
        <v>1E-13</v>
      </c>
      <c r="AN85" s="151">
        <f t="shared" si="58"/>
        <v>0.0034753616144320588</v>
      </c>
      <c r="AO85" s="135">
        <f t="shared" si="59"/>
        <v>1.6943378004472763E-28</v>
      </c>
      <c r="AP85" s="151">
        <f t="shared" si="60"/>
        <v>7.328245331389139E-38</v>
      </c>
      <c r="AQ85" s="135">
        <f t="shared" si="61"/>
        <v>1E-13</v>
      </c>
      <c r="AR85" s="151">
        <f t="shared" si="62"/>
        <v>1E-13</v>
      </c>
      <c r="AS85" s="135">
        <f t="shared" si="63"/>
        <v>1E-13</v>
      </c>
      <c r="AT85" s="151">
        <f t="shared" si="64"/>
        <v>0.017844319885403664</v>
      </c>
      <c r="AU85" s="135">
        <f t="shared" si="65"/>
        <v>7.413102413009246E-19</v>
      </c>
      <c r="AV85" s="151">
        <f t="shared" si="66"/>
        <v>1.419057521688933E-53</v>
      </c>
      <c r="AW85" s="135">
        <f t="shared" si="67"/>
        <v>1E-13</v>
      </c>
      <c r="AX85" s="151">
        <f t="shared" si="68"/>
        <v>1E-13</v>
      </c>
      <c r="AY85" s="136">
        <f t="shared" si="69"/>
        <v>1E-13</v>
      </c>
      <c r="AZ85" s="41"/>
      <c r="BA85" s="160">
        <f t="shared" si="54"/>
        <v>85.44720718388837</v>
      </c>
      <c r="BB85" s="161">
        <f t="shared" si="55"/>
        <v>69.35942532866092</v>
      </c>
    </row>
    <row r="86" spans="2:54" ht="12">
      <c r="B86" s="49">
        <v>750</v>
      </c>
      <c r="C86" s="50">
        <v>0.0003323011</v>
      </c>
      <c r="D86" s="50">
        <v>0.00012</v>
      </c>
      <c r="E86" s="51">
        <v>0</v>
      </c>
      <c r="F86" s="50">
        <v>0.000250969</v>
      </c>
      <c r="G86" s="51">
        <v>9.8428E-05</v>
      </c>
      <c r="H86" s="50">
        <v>0</v>
      </c>
      <c r="I86" s="135">
        <f t="shared" si="50"/>
        <v>226.91249541541796</v>
      </c>
      <c r="J86" s="52">
        <v>85.2</v>
      </c>
      <c r="K86" s="53">
        <v>59.2</v>
      </c>
      <c r="L86" s="52">
        <f t="shared" si="53"/>
        <v>78.26849872511318</v>
      </c>
      <c r="M86" s="53">
        <v>100</v>
      </c>
      <c r="N86" s="53">
        <v>0.47</v>
      </c>
      <c r="O86" s="52">
        <v>1.62</v>
      </c>
      <c r="P86" s="53">
        <v>0.2</v>
      </c>
      <c r="Q86" s="42">
        <f t="shared" si="51"/>
        <v>86.67473057740204</v>
      </c>
      <c r="R86" s="53">
        <v>65.2</v>
      </c>
      <c r="S86" s="52">
        <v>-10.2</v>
      </c>
      <c r="T86" s="53">
        <v>6.7</v>
      </c>
      <c r="U86" s="67">
        <v>1.431</v>
      </c>
      <c r="V86" s="47">
        <v>-10</v>
      </c>
      <c r="W86" s="46">
        <v>-10</v>
      </c>
      <c r="X86" s="140">
        <v>0.341</v>
      </c>
      <c r="Y86" s="138">
        <f t="shared" si="47"/>
        <v>-25.621000000000013</v>
      </c>
      <c r="Z86" s="140">
        <f t="shared" si="37"/>
        <v>-34.834999999999994</v>
      </c>
      <c r="AA86" s="138">
        <v>-10</v>
      </c>
      <c r="AB86" s="140">
        <v>-10</v>
      </c>
      <c r="AC86" s="138">
        <v>-10</v>
      </c>
      <c r="AD86" s="140">
        <v>1.054</v>
      </c>
      <c r="AE86" s="138">
        <f t="shared" si="49"/>
        <v>-15.729999999999993</v>
      </c>
      <c r="AF86" s="140">
        <f t="shared" si="40"/>
        <v>-50.94800000000004</v>
      </c>
      <c r="AG86" s="138">
        <v>-10</v>
      </c>
      <c r="AH86" s="140">
        <v>-10</v>
      </c>
      <c r="AI86" s="142">
        <v>-10</v>
      </c>
      <c r="AJ86" s="46"/>
      <c r="AK86" s="149">
        <f t="shared" si="52"/>
        <v>0.026977394324449212</v>
      </c>
      <c r="AL86" s="151">
        <f t="shared" si="56"/>
        <v>1E-13</v>
      </c>
      <c r="AM86" s="135">
        <f t="shared" si="57"/>
        <v>1E-13</v>
      </c>
      <c r="AN86" s="151">
        <f t="shared" si="58"/>
        <v>0.002192804935350449</v>
      </c>
      <c r="AO86" s="135">
        <f t="shared" si="59"/>
        <v>2.3933157564052998E-29</v>
      </c>
      <c r="AP86" s="151">
        <f t="shared" si="60"/>
        <v>1.462177174456727E-38</v>
      </c>
      <c r="AQ86" s="135">
        <f t="shared" si="61"/>
        <v>1E-13</v>
      </c>
      <c r="AR86" s="151">
        <f t="shared" si="62"/>
        <v>1E-13</v>
      </c>
      <c r="AS86" s="135">
        <f t="shared" si="63"/>
        <v>1E-13</v>
      </c>
      <c r="AT86" s="151">
        <f t="shared" si="64"/>
        <v>0.011324003632355573</v>
      </c>
      <c r="AU86" s="135">
        <f t="shared" si="65"/>
        <v>1.8620871366628958E-19</v>
      </c>
      <c r="AV86" s="151">
        <f t="shared" si="66"/>
        <v>1.1271974561753799E-54</v>
      </c>
      <c r="AW86" s="135">
        <f t="shared" si="67"/>
        <v>1E-13</v>
      </c>
      <c r="AX86" s="151">
        <f t="shared" si="68"/>
        <v>1E-13</v>
      </c>
      <c r="AY86" s="136">
        <f t="shared" si="69"/>
        <v>1E-13</v>
      </c>
      <c r="AZ86" s="41"/>
      <c r="BA86" s="160">
        <f t="shared" si="54"/>
        <v>78.26849872511318</v>
      </c>
      <c r="BB86" s="161">
        <f t="shared" si="55"/>
        <v>63.6105307426868</v>
      </c>
    </row>
    <row r="87" spans="2:54" ht="12">
      <c r="B87" s="49">
        <v>755</v>
      </c>
      <c r="C87" s="50">
        <v>0.0002348261</v>
      </c>
      <c r="D87" s="50">
        <v>8.48E-05</v>
      </c>
      <c r="E87" s="51">
        <v>0</v>
      </c>
      <c r="F87" s="50">
        <v>0.00017773</v>
      </c>
      <c r="G87" s="51">
        <v>6.9819E-05</v>
      </c>
      <c r="H87" s="50">
        <v>0</v>
      </c>
      <c r="I87" s="135">
        <f t="shared" si="50"/>
        <v>229.49481748082508</v>
      </c>
      <c r="J87" s="52">
        <v>84.8</v>
      </c>
      <c r="K87" s="53">
        <v>58.5</v>
      </c>
      <c r="L87" s="52">
        <f t="shared" si="53"/>
        <v>67.99505105127126</v>
      </c>
      <c r="M87" s="53">
        <v>100</v>
      </c>
      <c r="N87" s="53">
        <v>0.43</v>
      </c>
      <c r="O87" s="52">
        <v>1.54</v>
      </c>
      <c r="P87" s="53">
        <v>0.24</v>
      </c>
      <c r="Q87" s="42">
        <f t="shared" si="51"/>
        <v>86.04892302324076</v>
      </c>
      <c r="R87" s="53">
        <v>56.45</v>
      </c>
      <c r="S87" s="52">
        <v>-9</v>
      </c>
      <c r="T87" s="53">
        <v>5.95</v>
      </c>
      <c r="U87" s="67">
        <f>AVERAGE(U86,U88)</f>
        <v>1.2885</v>
      </c>
      <c r="V87" s="47">
        <v>-10</v>
      </c>
      <c r="W87" s="46">
        <v>-10</v>
      </c>
      <c r="X87" s="140">
        <f>X86-0.2</f>
        <v>0.14100000000000001</v>
      </c>
      <c r="Y87" s="138">
        <f t="shared" si="47"/>
        <v>-26.471000000000014</v>
      </c>
      <c r="Z87" s="140">
        <f t="shared" si="37"/>
        <v>-35.535</v>
      </c>
      <c r="AA87" s="138">
        <v>-10</v>
      </c>
      <c r="AB87" s="140">
        <v>-10</v>
      </c>
      <c r="AC87" s="138">
        <v>-10</v>
      </c>
      <c r="AD87" s="140">
        <f>AVERAGE(AD86,AD88)</f>
        <v>0.8540000000000001</v>
      </c>
      <c r="AE87" s="138">
        <f t="shared" si="49"/>
        <v>-16.329999999999995</v>
      </c>
      <c r="AF87" s="140">
        <f t="shared" si="40"/>
        <v>-52.048000000000044</v>
      </c>
      <c r="AG87" s="138">
        <v>-10</v>
      </c>
      <c r="AH87" s="140">
        <v>-10</v>
      </c>
      <c r="AI87" s="142">
        <v>-10</v>
      </c>
      <c r="AJ87" s="46"/>
      <c r="AK87" s="149">
        <f t="shared" si="52"/>
        <v>0.019431216918284255</v>
      </c>
      <c r="AL87" s="151">
        <f t="shared" si="56"/>
        <v>1E-13</v>
      </c>
      <c r="AM87" s="135">
        <f t="shared" si="57"/>
        <v>1E-13</v>
      </c>
      <c r="AN87" s="151">
        <f t="shared" si="58"/>
        <v>0.0013835663789717812</v>
      </c>
      <c r="AO87" s="135">
        <f t="shared" si="59"/>
        <v>3.3806483620596956E-30</v>
      </c>
      <c r="AP87" s="151">
        <f t="shared" si="60"/>
        <v>2.917427014001162E-39</v>
      </c>
      <c r="AQ87" s="135">
        <f t="shared" si="61"/>
        <v>1E-13</v>
      </c>
      <c r="AR87" s="151">
        <f t="shared" si="62"/>
        <v>1E-13</v>
      </c>
      <c r="AS87" s="135">
        <f t="shared" si="63"/>
        <v>1E-13</v>
      </c>
      <c r="AT87" s="151">
        <f t="shared" si="64"/>
        <v>0.007144963260755136</v>
      </c>
      <c r="AU87" s="135">
        <f t="shared" si="65"/>
        <v>4.6773514128720136E-20</v>
      </c>
      <c r="AV87" s="151">
        <f t="shared" si="66"/>
        <v>8.953647655494868E-56</v>
      </c>
      <c r="AW87" s="135">
        <f t="shared" si="67"/>
        <v>1E-13</v>
      </c>
      <c r="AX87" s="151">
        <f t="shared" si="68"/>
        <v>1E-13</v>
      </c>
      <c r="AY87" s="136">
        <f t="shared" si="69"/>
        <v>1E-13</v>
      </c>
      <c r="AZ87" s="41"/>
      <c r="BA87" s="160">
        <f t="shared" si="54"/>
        <v>67.99505105127126</v>
      </c>
      <c r="BB87" s="161">
        <f t="shared" si="55"/>
        <v>55.02120265341104</v>
      </c>
    </row>
    <row r="88" spans="2:54" ht="12">
      <c r="B88" s="49">
        <v>760</v>
      </c>
      <c r="C88" s="50">
        <v>0.0001661505</v>
      </c>
      <c r="D88" s="50">
        <v>6E-05</v>
      </c>
      <c r="E88" s="51">
        <v>0</v>
      </c>
      <c r="F88" s="50">
        <v>0.00012639</v>
      </c>
      <c r="G88" s="51">
        <v>4.9737E-05</v>
      </c>
      <c r="H88" s="50">
        <v>0</v>
      </c>
      <c r="I88" s="135">
        <f t="shared" si="50"/>
        <v>232.0219902875015</v>
      </c>
      <c r="J88" s="52">
        <v>84.7</v>
      </c>
      <c r="K88" s="53">
        <v>58.1</v>
      </c>
      <c r="L88" s="52">
        <f t="shared" si="53"/>
        <v>57.72160337742936</v>
      </c>
      <c r="M88" s="53">
        <v>100</v>
      </c>
      <c r="N88" s="53">
        <v>0.46</v>
      </c>
      <c r="O88" s="52">
        <v>1.45</v>
      </c>
      <c r="P88" s="53">
        <v>0.32</v>
      </c>
      <c r="Q88" s="42">
        <f t="shared" si="51"/>
        <v>85.41842005767288</v>
      </c>
      <c r="R88" s="53">
        <v>47.7</v>
      </c>
      <c r="S88" s="52">
        <v>-7.8</v>
      </c>
      <c r="T88" s="53">
        <v>5.2</v>
      </c>
      <c r="U88" s="67">
        <v>1.146</v>
      </c>
      <c r="V88" s="47">
        <v>-10</v>
      </c>
      <c r="W88" s="46">
        <v>-10</v>
      </c>
      <c r="X88" s="140">
        <f>X87-0.2</f>
        <v>-0.059</v>
      </c>
      <c r="Y88" s="138">
        <f t="shared" si="47"/>
        <v>-27.321000000000016</v>
      </c>
      <c r="Z88" s="140">
        <f t="shared" si="37"/>
        <v>-36.235</v>
      </c>
      <c r="AA88" s="138">
        <v>-10</v>
      </c>
      <c r="AB88" s="140">
        <v>-10</v>
      </c>
      <c r="AC88" s="138">
        <v>-10</v>
      </c>
      <c r="AD88" s="140">
        <v>0.654</v>
      </c>
      <c r="AE88" s="138">
        <f t="shared" si="49"/>
        <v>-16.929999999999996</v>
      </c>
      <c r="AF88" s="140">
        <f t="shared" si="40"/>
        <v>-53.148000000000046</v>
      </c>
      <c r="AG88" s="138">
        <v>-10</v>
      </c>
      <c r="AH88" s="140">
        <v>-10</v>
      </c>
      <c r="AI88" s="142">
        <v>-10</v>
      </c>
      <c r="AJ88" s="46"/>
      <c r="AK88" s="149">
        <f t="shared" si="52"/>
        <v>0.01399587322572618</v>
      </c>
      <c r="AL88" s="151">
        <f t="shared" si="56"/>
        <v>1E-13</v>
      </c>
      <c r="AM88" s="135">
        <f t="shared" si="57"/>
        <v>1E-13</v>
      </c>
      <c r="AN88" s="151">
        <f t="shared" si="58"/>
        <v>0.0008729713683881116</v>
      </c>
      <c r="AO88" s="135">
        <f t="shared" si="59"/>
        <v>4.7752927365767085E-31</v>
      </c>
      <c r="AP88" s="151">
        <f t="shared" si="60"/>
        <v>5.821032177708661E-40</v>
      </c>
      <c r="AQ88" s="135">
        <f t="shared" si="61"/>
        <v>1E-13</v>
      </c>
      <c r="AR88" s="151">
        <f t="shared" si="62"/>
        <v>1E-13</v>
      </c>
      <c r="AS88" s="135">
        <f t="shared" si="63"/>
        <v>1E-13</v>
      </c>
      <c r="AT88" s="151">
        <f t="shared" si="64"/>
        <v>0.004508167045414602</v>
      </c>
      <c r="AU88" s="135">
        <f t="shared" si="65"/>
        <v>1.1748975549395359E-20</v>
      </c>
      <c r="AV88" s="151">
        <f t="shared" si="66"/>
        <v>7.112135136532413E-57</v>
      </c>
      <c r="AW88" s="135">
        <f t="shared" si="67"/>
        <v>1E-13</v>
      </c>
      <c r="AX88" s="151">
        <f t="shared" si="68"/>
        <v>1E-13</v>
      </c>
      <c r="AY88" s="136">
        <f t="shared" si="69"/>
        <v>1E-13</v>
      </c>
      <c r="AZ88" s="41"/>
      <c r="BA88" s="160">
        <f t="shared" si="54"/>
        <v>57.72160337742936</v>
      </c>
      <c r="BB88" s="161">
        <f t="shared" si="55"/>
        <v>46.43187456413526</v>
      </c>
    </row>
    <row r="89" spans="2:54" ht="12">
      <c r="B89" s="49">
        <v>765</v>
      </c>
      <c r="C89" s="50">
        <v>0.000117413</v>
      </c>
      <c r="D89" s="50">
        <v>4.24E-05</v>
      </c>
      <c r="E89" s="51">
        <v>0</v>
      </c>
      <c r="F89" s="50">
        <v>9.0151E-05</v>
      </c>
      <c r="G89" s="51">
        <v>3.55405E-05</v>
      </c>
      <c r="H89" s="50">
        <v>0</v>
      </c>
      <c r="I89" s="135">
        <f t="shared" si="50"/>
        <v>234.4935783905563</v>
      </c>
      <c r="J89" s="52">
        <v>84.9</v>
      </c>
      <c r="K89" s="53">
        <v>58</v>
      </c>
      <c r="L89" s="52">
        <f t="shared" si="53"/>
        <v>70.34357401123248</v>
      </c>
      <c r="M89" s="53">
        <v>100</v>
      </c>
      <c r="N89" s="53">
        <v>0.47</v>
      </c>
      <c r="O89" s="52">
        <v>1.32</v>
      </c>
      <c r="P89" s="53">
        <v>0.26</v>
      </c>
      <c r="Q89" s="42">
        <f t="shared" si="51"/>
        <v>84.78369956874947</v>
      </c>
      <c r="R89" s="53">
        <v>58.15</v>
      </c>
      <c r="S89" s="52">
        <v>-9.5</v>
      </c>
      <c r="T89" s="53">
        <v>6.3</v>
      </c>
      <c r="U89" s="67">
        <f>AVERAGE(U88,U90)</f>
        <v>1.073</v>
      </c>
      <c r="V89" s="47">
        <v>-10</v>
      </c>
      <c r="W89" s="46">
        <v>-10</v>
      </c>
      <c r="X89" s="140">
        <f aca="true" t="shared" si="70" ref="X89:X102">X88-0.2</f>
        <v>-0.259</v>
      </c>
      <c r="Y89" s="138">
        <f t="shared" si="47"/>
        <v>-28.171000000000017</v>
      </c>
      <c r="Z89" s="140">
        <f t="shared" si="37"/>
        <v>-36.935</v>
      </c>
      <c r="AA89" s="138">
        <v>-10</v>
      </c>
      <c r="AB89" s="140">
        <v>-10</v>
      </c>
      <c r="AC89" s="138">
        <v>-10</v>
      </c>
      <c r="AD89" s="140">
        <f>AVERAGE(AD88,AD90)</f>
        <v>0.454</v>
      </c>
      <c r="AE89" s="138">
        <f t="shared" si="49"/>
        <v>-17.529999999999998</v>
      </c>
      <c r="AF89" s="140">
        <f t="shared" si="40"/>
        <v>-54.24800000000005</v>
      </c>
      <c r="AG89" s="138">
        <v>-10</v>
      </c>
      <c r="AH89" s="140">
        <v>-10</v>
      </c>
      <c r="AI89" s="142">
        <v>-10</v>
      </c>
      <c r="AJ89" s="46"/>
      <c r="AK89" s="149">
        <f t="shared" si="52"/>
        <v>0.011830415557251651</v>
      </c>
      <c r="AL89" s="151">
        <f t="shared" si="56"/>
        <v>1E-13</v>
      </c>
      <c r="AM89" s="135">
        <f t="shared" si="57"/>
        <v>1E-13</v>
      </c>
      <c r="AN89" s="151">
        <f t="shared" si="58"/>
        <v>0.0005508076964054033</v>
      </c>
      <c r="AO89" s="135">
        <f t="shared" si="59"/>
        <v>6.745280276978945E-32</v>
      </c>
      <c r="AP89" s="151">
        <f t="shared" si="60"/>
        <v>1.1614486138403235E-40</v>
      </c>
      <c r="AQ89" s="135">
        <f t="shared" si="61"/>
        <v>1E-13</v>
      </c>
      <c r="AR89" s="151">
        <f t="shared" si="62"/>
        <v>1E-13</v>
      </c>
      <c r="AS89" s="135">
        <f t="shared" si="63"/>
        <v>1E-13</v>
      </c>
      <c r="AT89" s="151">
        <f t="shared" si="64"/>
        <v>0.002844461107447916</v>
      </c>
      <c r="AU89" s="135">
        <f t="shared" si="65"/>
        <v>2.951209226666398E-21</v>
      </c>
      <c r="AV89" s="151">
        <f t="shared" si="66"/>
        <v>5.649369748122308E-58</v>
      </c>
      <c r="AW89" s="135">
        <f t="shared" si="67"/>
        <v>1E-13</v>
      </c>
      <c r="AX89" s="151">
        <f t="shared" si="68"/>
        <v>1E-13</v>
      </c>
      <c r="AY89" s="136">
        <f t="shared" si="69"/>
        <v>1E-13</v>
      </c>
      <c r="AZ89" s="41"/>
      <c r="BA89" s="160">
        <f t="shared" si="54"/>
        <v>70.34357401123248</v>
      </c>
      <c r="BB89" s="161">
        <f t="shared" si="55"/>
        <v>56.628437791309075</v>
      </c>
    </row>
    <row r="90" spans="2:54" ht="12">
      <c r="B90" s="49">
        <v>770</v>
      </c>
      <c r="C90" s="50">
        <v>8.307527E-05</v>
      </c>
      <c r="D90" s="50">
        <v>3E-05</v>
      </c>
      <c r="E90" s="51">
        <v>0</v>
      </c>
      <c r="F90" s="50">
        <v>6.45258E-05</v>
      </c>
      <c r="G90" s="51">
        <v>2.5486E-05</v>
      </c>
      <c r="H90" s="50">
        <v>0</v>
      </c>
      <c r="I90" s="135">
        <f t="shared" si="50"/>
        <v>236.90920887776366</v>
      </c>
      <c r="J90" s="52">
        <v>85.4</v>
      </c>
      <c r="K90" s="53">
        <v>58.2</v>
      </c>
      <c r="L90" s="52">
        <f t="shared" si="53"/>
        <v>82.96554464503559</v>
      </c>
      <c r="M90" s="53">
        <v>100</v>
      </c>
      <c r="N90" s="53">
        <v>0.4</v>
      </c>
      <c r="O90" s="52">
        <v>1.17</v>
      </c>
      <c r="P90" s="53">
        <v>0.16</v>
      </c>
      <c r="Q90" s="42">
        <f t="shared" si="51"/>
        <v>84.14522069491304</v>
      </c>
      <c r="R90" s="53">
        <v>68.6</v>
      </c>
      <c r="S90" s="52">
        <v>-11.2</v>
      </c>
      <c r="T90" s="53">
        <v>7.4</v>
      </c>
      <c r="U90" s="67">
        <v>1</v>
      </c>
      <c r="V90" s="47">
        <v>-10</v>
      </c>
      <c r="W90" s="46">
        <v>-10</v>
      </c>
      <c r="X90" s="140">
        <f t="shared" si="70"/>
        <v>-0.459</v>
      </c>
      <c r="Y90" s="138">
        <f t="shared" si="47"/>
        <v>-29.02100000000002</v>
      </c>
      <c r="Z90" s="140">
        <f t="shared" si="37"/>
        <v>-37.635000000000005</v>
      </c>
      <c r="AA90" s="138">
        <v>-10</v>
      </c>
      <c r="AB90" s="140">
        <v>-10</v>
      </c>
      <c r="AC90" s="138">
        <v>-10</v>
      </c>
      <c r="AD90" s="140">
        <v>0.254</v>
      </c>
      <c r="AE90" s="138">
        <f t="shared" si="49"/>
        <v>-18.13</v>
      </c>
      <c r="AF90" s="140">
        <f t="shared" si="40"/>
        <v>-55.34800000000005</v>
      </c>
      <c r="AG90" s="138">
        <v>-10</v>
      </c>
      <c r="AH90" s="140">
        <v>-10</v>
      </c>
      <c r="AI90" s="142">
        <v>-10</v>
      </c>
      <c r="AJ90" s="46"/>
      <c r="AK90" s="149">
        <f t="shared" si="52"/>
        <v>0.01</v>
      </c>
      <c r="AL90" s="151">
        <f t="shared" si="56"/>
        <v>1E-13</v>
      </c>
      <c r="AM90" s="135">
        <f t="shared" si="57"/>
        <v>1E-13</v>
      </c>
      <c r="AN90" s="151">
        <f t="shared" si="58"/>
        <v>0.00034753616144320577</v>
      </c>
      <c r="AO90" s="135">
        <f t="shared" si="59"/>
        <v>9.527961640236073E-33</v>
      </c>
      <c r="AP90" s="151">
        <f t="shared" si="60"/>
        <v>2.3173946499684226E-41</v>
      </c>
      <c r="AQ90" s="135">
        <f t="shared" si="61"/>
        <v>1E-13</v>
      </c>
      <c r="AR90" s="151">
        <f t="shared" si="62"/>
        <v>1E-13</v>
      </c>
      <c r="AS90" s="135">
        <f t="shared" si="63"/>
        <v>1E-13</v>
      </c>
      <c r="AT90" s="151">
        <f t="shared" si="64"/>
        <v>0.0017947336268325266</v>
      </c>
      <c r="AU90" s="135">
        <f t="shared" si="65"/>
        <v>7.413102413009143E-22</v>
      </c>
      <c r="AV90" s="151">
        <f t="shared" si="66"/>
        <v>4.487453899330735E-59</v>
      </c>
      <c r="AW90" s="135">
        <f t="shared" si="67"/>
        <v>1E-13</v>
      </c>
      <c r="AX90" s="151">
        <f t="shared" si="68"/>
        <v>1E-13</v>
      </c>
      <c r="AY90" s="136">
        <f t="shared" si="69"/>
        <v>1E-13</v>
      </c>
      <c r="AZ90" s="41"/>
      <c r="BA90" s="160">
        <f t="shared" si="54"/>
        <v>82.96554464503559</v>
      </c>
      <c r="BB90" s="161">
        <f t="shared" si="55"/>
        <v>66.82500101848288</v>
      </c>
    </row>
    <row r="91" spans="2:54" ht="12">
      <c r="B91" s="49">
        <v>775</v>
      </c>
      <c r="C91" s="50">
        <v>5.870652E-05</v>
      </c>
      <c r="D91" s="50">
        <v>2.12E-05</v>
      </c>
      <c r="E91" s="51">
        <v>0</v>
      </c>
      <c r="F91" s="50">
        <v>4.6339E-05</v>
      </c>
      <c r="G91" s="51">
        <v>1.83384E-05</v>
      </c>
      <c r="H91" s="50">
        <v>0</v>
      </c>
      <c r="I91" s="135">
        <f t="shared" si="50"/>
        <v>239.26856928740813</v>
      </c>
      <c r="J91" s="52">
        <v>0</v>
      </c>
      <c r="K91" s="53">
        <v>0</v>
      </c>
      <c r="L91" s="52">
        <f t="shared" si="53"/>
        <v>80.63939129260774</v>
      </c>
      <c r="M91" s="53">
        <v>100</v>
      </c>
      <c r="N91" s="53">
        <v>0.33</v>
      </c>
      <c r="O91" s="52">
        <v>0.99</v>
      </c>
      <c r="P91" s="53">
        <v>0.12</v>
      </c>
      <c r="Q91" s="42">
        <f t="shared" si="51"/>
        <v>83.50342432462544</v>
      </c>
      <c r="R91" s="53">
        <v>66.8</v>
      </c>
      <c r="S91" s="52">
        <v>-10.8</v>
      </c>
      <c r="T91" s="53">
        <v>7.1</v>
      </c>
      <c r="U91" s="67">
        <v>-10</v>
      </c>
      <c r="V91" s="47">
        <v>-10</v>
      </c>
      <c r="W91" s="46">
        <v>-10</v>
      </c>
      <c r="X91" s="140">
        <f t="shared" si="70"/>
        <v>-0.659</v>
      </c>
      <c r="Y91" s="138">
        <f t="shared" si="47"/>
        <v>-29.87100000000002</v>
      </c>
      <c r="Z91" s="140">
        <f t="shared" si="37"/>
        <v>-38.33500000000001</v>
      </c>
      <c r="AA91" s="138">
        <v>-10</v>
      </c>
      <c r="AB91" s="140">
        <v>-10</v>
      </c>
      <c r="AC91" s="138">
        <v>-10</v>
      </c>
      <c r="AD91" s="140">
        <f>AD90-0.2</f>
        <v>0.05399999999999999</v>
      </c>
      <c r="AE91" s="138">
        <f t="shared" si="49"/>
        <v>-18.73</v>
      </c>
      <c r="AF91" s="140">
        <f t="shared" si="40"/>
        <v>-56.44800000000005</v>
      </c>
      <c r="AG91" s="138">
        <v>-10</v>
      </c>
      <c r="AH91" s="140">
        <v>-10</v>
      </c>
      <c r="AI91" s="142">
        <v>-10</v>
      </c>
      <c r="AJ91" s="46"/>
      <c r="AK91" s="149">
        <f t="shared" si="52"/>
        <v>1E-13</v>
      </c>
      <c r="AL91" s="151">
        <f t="shared" si="56"/>
        <v>1E-13</v>
      </c>
      <c r="AM91" s="135">
        <f t="shared" si="57"/>
        <v>1E-13</v>
      </c>
      <c r="AN91" s="151">
        <f t="shared" si="58"/>
        <v>0.00021928049353504478</v>
      </c>
      <c r="AO91" s="135">
        <f t="shared" si="59"/>
        <v>1.3458603540558772E-33</v>
      </c>
      <c r="AP91" s="151">
        <f t="shared" si="60"/>
        <v>4.6238102139924564E-42</v>
      </c>
      <c r="AQ91" s="135">
        <f t="shared" si="61"/>
        <v>1E-13</v>
      </c>
      <c r="AR91" s="151">
        <f t="shared" si="62"/>
        <v>1E-13</v>
      </c>
      <c r="AS91" s="135">
        <f t="shared" si="63"/>
        <v>1E-13</v>
      </c>
      <c r="AT91" s="151">
        <f t="shared" si="64"/>
        <v>0.001132400363235557</v>
      </c>
      <c r="AU91" s="135">
        <f t="shared" si="65"/>
        <v>1.8620871366628566E-22</v>
      </c>
      <c r="AV91" s="151">
        <f t="shared" si="66"/>
        <v>3.564511334262014E-60</v>
      </c>
      <c r="AW91" s="135">
        <f t="shared" si="67"/>
        <v>1E-13</v>
      </c>
      <c r="AX91" s="151">
        <f t="shared" si="68"/>
        <v>1E-13</v>
      </c>
      <c r="AY91" s="136">
        <f t="shared" si="69"/>
        <v>1E-13</v>
      </c>
      <c r="AZ91" s="41"/>
      <c r="BA91" s="160">
        <f t="shared" si="54"/>
        <v>80.63939129260774</v>
      </c>
      <c r="BB91" s="161">
        <f t="shared" si="55"/>
        <v>65.11298263223566</v>
      </c>
    </row>
    <row r="92" spans="2:54" ht="12">
      <c r="B92" s="49">
        <v>780</v>
      </c>
      <c r="C92" s="50">
        <v>4.150994E-05</v>
      </c>
      <c r="D92" s="50">
        <v>1.499E-05</v>
      </c>
      <c r="E92" s="51">
        <v>0</v>
      </c>
      <c r="F92" s="50">
        <v>3.34117E-05</v>
      </c>
      <c r="G92" s="51">
        <v>1.3249E-05</v>
      </c>
      <c r="H92" s="50">
        <v>0</v>
      </c>
      <c r="I92" s="135">
        <f t="shared" si="50"/>
        <v>241.57140552399795</v>
      </c>
      <c r="J92" s="52">
        <v>0</v>
      </c>
      <c r="K92" s="53">
        <v>0</v>
      </c>
      <c r="L92" s="52">
        <f t="shared" si="53"/>
        <v>78.31323794017987</v>
      </c>
      <c r="M92" s="53">
        <v>100</v>
      </c>
      <c r="N92" s="53">
        <v>0.27</v>
      </c>
      <c r="O92" s="52">
        <v>0.81</v>
      </c>
      <c r="P92" s="53">
        <v>0.09</v>
      </c>
      <c r="Q92" s="42">
        <f t="shared" si="51"/>
        <v>82.85873359441307</v>
      </c>
      <c r="R92" s="53">
        <v>65</v>
      </c>
      <c r="S92" s="52">
        <v>-10.4</v>
      </c>
      <c r="T92" s="53">
        <v>6.8</v>
      </c>
      <c r="U92" s="67">
        <v>-10</v>
      </c>
      <c r="V92" s="47">
        <v>-10</v>
      </c>
      <c r="W92" s="46">
        <v>-10</v>
      </c>
      <c r="X92" s="140">
        <f t="shared" si="70"/>
        <v>-0.859</v>
      </c>
      <c r="Y92" s="138">
        <f t="shared" si="47"/>
        <v>-30.72100000000002</v>
      </c>
      <c r="Z92" s="140">
        <f t="shared" si="37"/>
        <v>-39.03500000000001</v>
      </c>
      <c r="AA92" s="138">
        <v>-10</v>
      </c>
      <c r="AB92" s="140">
        <v>-10</v>
      </c>
      <c r="AC92" s="138">
        <v>-10</v>
      </c>
      <c r="AD92" s="140">
        <f>AD91-0.2</f>
        <v>-0.14600000000000002</v>
      </c>
      <c r="AE92" s="138">
        <f t="shared" si="49"/>
        <v>-19.330000000000002</v>
      </c>
      <c r="AF92" s="140">
        <f t="shared" si="40"/>
        <v>-57.54800000000005</v>
      </c>
      <c r="AG92" s="138">
        <v>-10</v>
      </c>
      <c r="AH92" s="140">
        <v>-10</v>
      </c>
      <c r="AI92" s="142">
        <v>-10</v>
      </c>
      <c r="AJ92" s="46"/>
      <c r="AK92" s="149">
        <f t="shared" si="52"/>
        <v>1E-13</v>
      </c>
      <c r="AL92" s="151">
        <f t="shared" si="56"/>
        <v>1E-13</v>
      </c>
      <c r="AM92" s="135">
        <f t="shared" si="57"/>
        <v>1E-13</v>
      </c>
      <c r="AN92" s="151">
        <f t="shared" si="58"/>
        <v>0.00013835663789717805</v>
      </c>
      <c r="AO92" s="135">
        <f t="shared" si="59"/>
        <v>1.9010782799231878E-34</v>
      </c>
      <c r="AP92" s="151">
        <f t="shared" si="60"/>
        <v>9.225714271547269E-43</v>
      </c>
      <c r="AQ92" s="135">
        <f t="shared" si="61"/>
        <v>1E-13</v>
      </c>
      <c r="AR92" s="151">
        <f t="shared" si="62"/>
        <v>1E-13</v>
      </c>
      <c r="AS92" s="135">
        <f t="shared" si="63"/>
        <v>1E-13</v>
      </c>
      <c r="AT92" s="151">
        <f t="shared" si="64"/>
        <v>0.0007144963260755133</v>
      </c>
      <c r="AU92" s="135">
        <f t="shared" si="65"/>
        <v>4.677351412871949E-23</v>
      </c>
      <c r="AV92" s="151">
        <f t="shared" si="66"/>
        <v>2.8313919957989885E-61</v>
      </c>
      <c r="AW92" s="135">
        <f t="shared" si="67"/>
        <v>1E-13</v>
      </c>
      <c r="AX92" s="151">
        <f t="shared" si="68"/>
        <v>1E-13</v>
      </c>
      <c r="AY92" s="136">
        <f t="shared" si="69"/>
        <v>1E-13</v>
      </c>
      <c r="AZ92" s="41"/>
      <c r="BA92" s="160">
        <f t="shared" si="54"/>
        <v>78.31323794017987</v>
      </c>
      <c r="BB92" s="161">
        <f t="shared" si="55"/>
        <v>63.40096424598845</v>
      </c>
    </row>
    <row r="93" spans="2:54" ht="12">
      <c r="B93" s="49">
        <v>785</v>
      </c>
      <c r="C93" s="50">
        <v>2.935326E-05</v>
      </c>
      <c r="D93" s="50">
        <v>1.06E-05</v>
      </c>
      <c r="E93" s="51">
        <v>0</v>
      </c>
      <c r="F93" s="50">
        <v>2.4209E-05</v>
      </c>
      <c r="G93" s="51">
        <v>9.6196E-06</v>
      </c>
      <c r="H93" s="50">
        <v>0</v>
      </c>
      <c r="I93" s="135">
        <f t="shared" si="50"/>
        <v>243.81751977714853</v>
      </c>
      <c r="J93" s="52">
        <v>0</v>
      </c>
      <c r="K93" s="53">
        <v>0</v>
      </c>
      <c r="L93" s="52">
        <f t="shared" si="53"/>
        <v>78.95394500886046</v>
      </c>
      <c r="M93" s="53">
        <v>100</v>
      </c>
      <c r="N93" s="53">
        <v>0</v>
      </c>
      <c r="O93" s="52">
        <v>0</v>
      </c>
      <c r="P93" s="53">
        <v>0</v>
      </c>
      <c r="Q93" s="42">
        <f t="shared" si="51"/>
        <v>82.21155438422608</v>
      </c>
      <c r="R93" s="53">
        <v>65.5</v>
      </c>
      <c r="S93" s="52">
        <v>-10.5</v>
      </c>
      <c r="T93" s="53">
        <v>6.9</v>
      </c>
      <c r="U93" s="67">
        <v>-10</v>
      </c>
      <c r="V93" s="47">
        <v>-10</v>
      </c>
      <c r="W93" s="46">
        <v>-10</v>
      </c>
      <c r="X93" s="140">
        <f t="shared" si="70"/>
        <v>-1.059</v>
      </c>
      <c r="Y93" s="138">
        <f t="shared" si="47"/>
        <v>-31.571000000000023</v>
      </c>
      <c r="Z93" s="140">
        <f t="shared" si="37"/>
        <v>-39.735000000000014</v>
      </c>
      <c r="AA93" s="138">
        <v>-10</v>
      </c>
      <c r="AB93" s="140">
        <v>-10</v>
      </c>
      <c r="AC93" s="138">
        <v>-10</v>
      </c>
      <c r="AD93" s="140">
        <f aca="true" t="shared" si="71" ref="AD93:AD102">AD92-0.2</f>
        <v>-0.34600000000000003</v>
      </c>
      <c r="AE93" s="138">
        <f t="shared" si="49"/>
        <v>-19.930000000000003</v>
      </c>
      <c r="AF93" s="140">
        <f t="shared" si="40"/>
        <v>-58.64800000000005</v>
      </c>
      <c r="AG93" s="138">
        <v>-10</v>
      </c>
      <c r="AH93" s="140">
        <v>-10</v>
      </c>
      <c r="AI93" s="142">
        <v>-10</v>
      </c>
      <c r="AJ93" s="46"/>
      <c r="AK93" s="149">
        <f t="shared" si="52"/>
        <v>1E-13</v>
      </c>
      <c r="AL93" s="151">
        <f t="shared" si="56"/>
        <v>1E-13</v>
      </c>
      <c r="AM93" s="135">
        <f t="shared" si="57"/>
        <v>1E-13</v>
      </c>
      <c r="AN93" s="151">
        <f t="shared" si="58"/>
        <v>8.729713683881113E-05</v>
      </c>
      <c r="AO93" s="135">
        <f t="shared" si="59"/>
        <v>2.685344445658333E-35</v>
      </c>
      <c r="AP93" s="151">
        <f t="shared" si="60"/>
        <v>1.84077200146887E-43</v>
      </c>
      <c r="AQ93" s="135">
        <f t="shared" si="61"/>
        <v>1E-13</v>
      </c>
      <c r="AR93" s="151">
        <f t="shared" si="62"/>
        <v>1E-13</v>
      </c>
      <c r="AS93" s="135">
        <f t="shared" si="63"/>
        <v>1E-13</v>
      </c>
      <c r="AT93" s="151">
        <f t="shared" si="64"/>
        <v>0.00045081670454146005</v>
      </c>
      <c r="AU93" s="135">
        <f t="shared" si="65"/>
        <v>1.1748975549395196E-23</v>
      </c>
      <c r="AV93" s="151">
        <f t="shared" si="66"/>
        <v>2.249054605835494E-62</v>
      </c>
      <c r="AW93" s="135">
        <f t="shared" si="67"/>
        <v>1E-13</v>
      </c>
      <c r="AX93" s="151">
        <f t="shared" si="68"/>
        <v>1E-13</v>
      </c>
      <c r="AY93" s="136">
        <f t="shared" si="69"/>
        <v>1E-13</v>
      </c>
      <c r="AZ93" s="41"/>
      <c r="BA93" s="160">
        <f t="shared" si="54"/>
        <v>78.95394500886046</v>
      </c>
      <c r="BB93" s="161">
        <f t="shared" si="55"/>
        <v>63.86175668746124</v>
      </c>
    </row>
    <row r="94" spans="2:54" ht="12">
      <c r="B94" s="49">
        <v>790</v>
      </c>
      <c r="C94" s="50">
        <v>2.067383E-05</v>
      </c>
      <c r="D94" s="50">
        <v>7.4657E-06</v>
      </c>
      <c r="E94" s="51">
        <v>0</v>
      </c>
      <c r="F94" s="50">
        <v>1.76115E-05</v>
      </c>
      <c r="G94" s="51">
        <v>7.0128E-06</v>
      </c>
      <c r="H94" s="50">
        <v>0</v>
      </c>
      <c r="I94" s="135">
        <f t="shared" si="50"/>
        <v>246.0067684485255</v>
      </c>
      <c r="J94" s="52">
        <v>0</v>
      </c>
      <c r="K94" s="53">
        <v>0</v>
      </c>
      <c r="L94" s="52">
        <f t="shared" si="53"/>
        <v>79.59465207754104</v>
      </c>
      <c r="M94" s="53">
        <v>100</v>
      </c>
      <c r="N94" s="53">
        <v>0</v>
      </c>
      <c r="O94" s="52">
        <v>0</v>
      </c>
      <c r="P94" s="53">
        <v>0</v>
      </c>
      <c r="Q94" s="42">
        <f t="shared" si="51"/>
        <v>81.56227580912001</v>
      </c>
      <c r="R94" s="53">
        <v>66</v>
      </c>
      <c r="S94" s="52">
        <v>-10.6</v>
      </c>
      <c r="T94" s="53">
        <v>7</v>
      </c>
      <c r="U94" s="67">
        <v>-10</v>
      </c>
      <c r="V94" s="47">
        <v>-10</v>
      </c>
      <c r="W94" s="46">
        <v>-10</v>
      </c>
      <c r="X94" s="140">
        <f t="shared" si="70"/>
        <v>-1.259</v>
      </c>
      <c r="Y94" s="138">
        <f t="shared" si="47"/>
        <v>-32.42100000000002</v>
      </c>
      <c r="Z94" s="140">
        <f t="shared" si="37"/>
        <v>-40.43500000000002</v>
      </c>
      <c r="AA94" s="138">
        <v>-10</v>
      </c>
      <c r="AB94" s="140">
        <v>-10</v>
      </c>
      <c r="AC94" s="138">
        <v>-10</v>
      </c>
      <c r="AD94" s="140">
        <f t="shared" si="71"/>
        <v>-0.546</v>
      </c>
      <c r="AE94" s="138">
        <f t="shared" si="49"/>
        <v>-20.530000000000005</v>
      </c>
      <c r="AF94" s="140">
        <f t="shared" si="40"/>
        <v>-59.748000000000054</v>
      </c>
      <c r="AG94" s="138">
        <v>-10</v>
      </c>
      <c r="AH94" s="140">
        <v>-10</v>
      </c>
      <c r="AI94" s="142">
        <v>-10</v>
      </c>
      <c r="AJ94" s="46"/>
      <c r="AK94" s="149">
        <f t="shared" si="52"/>
        <v>1E-13</v>
      </c>
      <c r="AL94" s="151">
        <f t="shared" si="56"/>
        <v>1E-13</v>
      </c>
      <c r="AM94" s="135">
        <f t="shared" si="57"/>
        <v>1E-13</v>
      </c>
      <c r="AN94" s="151">
        <f t="shared" si="58"/>
        <v>5.508076964054033E-05</v>
      </c>
      <c r="AO94" s="135">
        <f t="shared" si="59"/>
        <v>3.793149849736603E-36</v>
      </c>
      <c r="AP94" s="151">
        <f t="shared" si="60"/>
        <v>3.6728230049806994E-44</v>
      </c>
      <c r="AQ94" s="135">
        <f t="shared" si="61"/>
        <v>1E-13</v>
      </c>
      <c r="AR94" s="151">
        <f t="shared" si="62"/>
        <v>1E-13</v>
      </c>
      <c r="AS94" s="135">
        <f t="shared" si="63"/>
        <v>1E-13</v>
      </c>
      <c r="AT94" s="151">
        <f t="shared" si="64"/>
        <v>0.00028444611074479153</v>
      </c>
      <c r="AU94" s="135">
        <f t="shared" si="65"/>
        <v>2.9512092266663354E-24</v>
      </c>
      <c r="AV94" s="151">
        <f t="shared" si="66"/>
        <v>1.7864875748517908E-63</v>
      </c>
      <c r="AW94" s="135">
        <f t="shared" si="67"/>
        <v>1E-13</v>
      </c>
      <c r="AX94" s="151">
        <f t="shared" si="68"/>
        <v>1E-13</v>
      </c>
      <c r="AY94" s="136">
        <f t="shared" si="69"/>
        <v>1E-13</v>
      </c>
      <c r="AZ94" s="41"/>
      <c r="BA94" s="160">
        <f t="shared" si="54"/>
        <v>79.59465207754104</v>
      </c>
      <c r="BB94" s="161">
        <f t="shared" si="55"/>
        <v>64.32254912893403</v>
      </c>
    </row>
    <row r="95" spans="2:54" ht="12">
      <c r="B95" s="58">
        <v>795</v>
      </c>
      <c r="C95" s="59">
        <v>1.455977E-05</v>
      </c>
      <c r="D95" s="59">
        <v>5.2578E-06</v>
      </c>
      <c r="E95" s="60">
        <v>0</v>
      </c>
      <c r="F95" s="59">
        <v>1.2855E-05</v>
      </c>
      <c r="G95" s="60">
        <v>5.1298E-06</v>
      </c>
      <c r="H95" s="59">
        <v>0</v>
      </c>
      <c r="I95" s="153">
        <f t="shared" si="50"/>
        <v>248.1390600913393</v>
      </c>
      <c r="J95" s="62">
        <v>0</v>
      </c>
      <c r="K95" s="63">
        <v>0</v>
      </c>
      <c r="L95" s="62">
        <f t="shared" si="53"/>
        <v>76.51648265192011</v>
      </c>
      <c r="M95" s="63">
        <v>100</v>
      </c>
      <c r="N95" s="63">
        <v>0</v>
      </c>
      <c r="O95" s="62">
        <v>0</v>
      </c>
      <c r="P95" s="131">
        <v>0</v>
      </c>
      <c r="Q95" s="61">
        <f t="shared" si="51"/>
        <v>80.91127070637596</v>
      </c>
      <c r="R95" s="63">
        <v>63.5</v>
      </c>
      <c r="S95" s="62">
        <v>-10.15</v>
      </c>
      <c r="T95" s="63">
        <v>6.7</v>
      </c>
      <c r="U95" s="80">
        <v>-10</v>
      </c>
      <c r="V95" s="65">
        <v>-10</v>
      </c>
      <c r="W95" s="66">
        <v>-10</v>
      </c>
      <c r="X95" s="143">
        <f t="shared" si="70"/>
        <v>-1.4589999999999999</v>
      </c>
      <c r="Y95" s="144">
        <f t="shared" si="47"/>
        <v>-33.27100000000002</v>
      </c>
      <c r="Z95" s="143">
        <f t="shared" si="37"/>
        <v>-41.13500000000002</v>
      </c>
      <c r="AA95" s="144">
        <v>-10</v>
      </c>
      <c r="AB95" s="143">
        <v>-10</v>
      </c>
      <c r="AC95" s="144">
        <v>-10</v>
      </c>
      <c r="AD95" s="143">
        <f t="shared" si="71"/>
        <v>-0.746</v>
      </c>
      <c r="AE95" s="144">
        <f t="shared" si="49"/>
        <v>-21.130000000000006</v>
      </c>
      <c r="AF95" s="143">
        <f t="shared" si="40"/>
        <v>-60.848000000000056</v>
      </c>
      <c r="AG95" s="144">
        <v>-10</v>
      </c>
      <c r="AH95" s="143">
        <v>-10</v>
      </c>
      <c r="AI95" s="145">
        <v>-10</v>
      </c>
      <c r="AJ95" s="46"/>
      <c r="AK95" s="152">
        <f t="shared" si="52"/>
        <v>1E-13</v>
      </c>
      <c r="AL95" s="153">
        <f t="shared" si="56"/>
        <v>1E-13</v>
      </c>
      <c r="AM95" s="154">
        <f t="shared" si="57"/>
        <v>1E-13</v>
      </c>
      <c r="AN95" s="153">
        <f t="shared" si="58"/>
        <v>3.475361614432058E-05</v>
      </c>
      <c r="AO95" s="154">
        <f t="shared" si="59"/>
        <v>5.357966575133079E-37</v>
      </c>
      <c r="AP95" s="153">
        <f t="shared" si="60"/>
        <v>7.328245331388691E-45</v>
      </c>
      <c r="AQ95" s="154">
        <f t="shared" si="61"/>
        <v>1E-13</v>
      </c>
      <c r="AR95" s="153">
        <f t="shared" si="62"/>
        <v>1E-13</v>
      </c>
      <c r="AS95" s="154">
        <f t="shared" si="63"/>
        <v>1E-13</v>
      </c>
      <c r="AT95" s="153">
        <f t="shared" si="64"/>
        <v>0.00017947336268325258</v>
      </c>
      <c r="AU95" s="154">
        <f t="shared" si="65"/>
        <v>7.4131024130090385E-25</v>
      </c>
      <c r="AV95" s="153">
        <f t="shared" si="66"/>
        <v>1.4190575216889007E-64</v>
      </c>
      <c r="AW95" s="154">
        <f t="shared" si="67"/>
        <v>1E-13</v>
      </c>
      <c r="AX95" s="153">
        <f t="shared" si="68"/>
        <v>1E-13</v>
      </c>
      <c r="AY95" s="155">
        <f t="shared" si="69"/>
        <v>1E-13</v>
      </c>
      <c r="AZ95" s="41"/>
      <c r="BA95" s="162">
        <f t="shared" si="54"/>
        <v>76.51648265192011</v>
      </c>
      <c r="BB95" s="163">
        <f t="shared" si="55"/>
        <v>61.895710211772375</v>
      </c>
    </row>
    <row r="96" spans="2:54" ht="12">
      <c r="B96" s="49">
        <v>800</v>
      </c>
      <c r="C96" s="50">
        <v>1.025398E-05</v>
      </c>
      <c r="D96" s="50">
        <v>3.7029E-06</v>
      </c>
      <c r="E96" s="51">
        <v>0</v>
      </c>
      <c r="F96" s="50">
        <v>9.41363E-06</v>
      </c>
      <c r="G96" s="51">
        <v>3.76473E-06</v>
      </c>
      <c r="H96" s="50">
        <v>0</v>
      </c>
      <c r="I96" s="135">
        <f t="shared" si="50"/>
        <v>250.2143533664808</v>
      </c>
      <c r="J96" s="52">
        <v>0</v>
      </c>
      <c r="K96" s="53">
        <v>0</v>
      </c>
      <c r="L96" s="52">
        <f t="shared" si="53"/>
        <v>73.43831322629919</v>
      </c>
      <c r="M96" s="53">
        <v>100</v>
      </c>
      <c r="N96" s="53">
        <v>0</v>
      </c>
      <c r="O96" s="52">
        <v>0</v>
      </c>
      <c r="P96" s="53">
        <v>0</v>
      </c>
      <c r="Q96" s="42">
        <f t="shared" si="51"/>
        <v>80.25889611727123</v>
      </c>
      <c r="R96" s="53">
        <v>61</v>
      </c>
      <c r="S96" s="52">
        <v>-9.7</v>
      </c>
      <c r="T96" s="53">
        <v>6.4</v>
      </c>
      <c r="U96" s="67">
        <v>-10</v>
      </c>
      <c r="V96" s="47">
        <v>-10</v>
      </c>
      <c r="W96" s="46">
        <v>-10</v>
      </c>
      <c r="X96" s="140">
        <f t="shared" si="70"/>
        <v>-1.6589999999999998</v>
      </c>
      <c r="Y96" s="138">
        <f t="shared" si="47"/>
        <v>-34.12100000000002</v>
      </c>
      <c r="Z96" s="140">
        <f t="shared" si="37"/>
        <v>-41.83500000000002</v>
      </c>
      <c r="AA96" s="138">
        <v>-10</v>
      </c>
      <c r="AB96" s="140">
        <v>-10</v>
      </c>
      <c r="AC96" s="138">
        <v>-10</v>
      </c>
      <c r="AD96" s="140">
        <f t="shared" si="71"/>
        <v>-0.946</v>
      </c>
      <c r="AE96" s="138">
        <f t="shared" si="49"/>
        <v>-21.730000000000008</v>
      </c>
      <c r="AF96" s="140">
        <f t="shared" si="40"/>
        <v>-61.94800000000006</v>
      </c>
      <c r="AG96" s="138">
        <v>-10</v>
      </c>
      <c r="AH96" s="140">
        <v>-10</v>
      </c>
      <c r="AI96" s="142">
        <v>-10</v>
      </c>
      <c r="AJ96" s="46"/>
      <c r="AK96" s="149">
        <f t="shared" si="52"/>
        <v>1E-13</v>
      </c>
      <c r="AL96" s="151">
        <f t="shared" si="56"/>
        <v>1E-13</v>
      </c>
      <c r="AM96" s="135">
        <f t="shared" si="57"/>
        <v>1E-13</v>
      </c>
      <c r="AN96" s="151">
        <f t="shared" si="58"/>
        <v>2.1928049353504493E-05</v>
      </c>
      <c r="AO96" s="135">
        <f t="shared" si="59"/>
        <v>7.568328950209328E-38</v>
      </c>
      <c r="AP96" s="151">
        <f t="shared" si="60"/>
        <v>1.4621771744566378E-45</v>
      </c>
      <c r="AQ96" s="135">
        <f t="shared" si="61"/>
        <v>1E-13</v>
      </c>
      <c r="AR96" s="151">
        <f t="shared" si="62"/>
        <v>1E-13</v>
      </c>
      <c r="AS96" s="135">
        <f t="shared" si="63"/>
        <v>1E-13</v>
      </c>
      <c r="AT96" s="151">
        <f t="shared" si="64"/>
        <v>0.00011324003632355569</v>
      </c>
      <c r="AU96" s="135">
        <f t="shared" si="65"/>
        <v>1.8620871366628304E-25</v>
      </c>
      <c r="AV96" s="151">
        <f t="shared" si="66"/>
        <v>1.127197456175338E-65</v>
      </c>
      <c r="AW96" s="135">
        <f t="shared" si="67"/>
        <v>1E-13</v>
      </c>
      <c r="AX96" s="151">
        <f t="shared" si="68"/>
        <v>1E-13</v>
      </c>
      <c r="AY96" s="136">
        <f t="shared" si="69"/>
        <v>1E-13</v>
      </c>
      <c r="AZ96" s="41"/>
      <c r="BA96" s="160">
        <f t="shared" si="54"/>
        <v>73.43831322629919</v>
      </c>
      <c r="BB96" s="161">
        <f t="shared" si="55"/>
        <v>59.46887129461072</v>
      </c>
    </row>
    <row r="97" spans="2:54" ht="12">
      <c r="B97" s="49">
        <v>805</v>
      </c>
      <c r="C97" s="50">
        <v>7.221456E-06</v>
      </c>
      <c r="D97" s="50">
        <v>2.6078E-06</v>
      </c>
      <c r="E97" s="51">
        <v>0</v>
      </c>
      <c r="F97" s="50">
        <v>6.913E-06</v>
      </c>
      <c r="G97" s="51">
        <v>2.77081E-06</v>
      </c>
      <c r="H97" s="50">
        <v>0</v>
      </c>
      <c r="I97" s="135">
        <f t="shared" si="50"/>
        <v>252.23265501904308</v>
      </c>
      <c r="J97" s="52">
        <v>0</v>
      </c>
      <c r="K97" s="53">
        <v>0</v>
      </c>
      <c r="L97" s="52">
        <f t="shared" si="53"/>
        <v>68.69505105127126</v>
      </c>
      <c r="M97" s="53">
        <v>100</v>
      </c>
      <c r="N97" s="53">
        <v>0</v>
      </c>
      <c r="O97" s="52">
        <v>0</v>
      </c>
      <c r="P97" s="53">
        <v>0</v>
      </c>
      <c r="Q97" s="42">
        <f t="shared" si="51"/>
        <v>79.60549376280441</v>
      </c>
      <c r="R97" s="53">
        <v>57.15</v>
      </c>
      <c r="S97" s="52">
        <v>-9</v>
      </c>
      <c r="T97" s="53">
        <v>5.95</v>
      </c>
      <c r="U97" s="67">
        <v>-10</v>
      </c>
      <c r="V97" s="47">
        <v>-10</v>
      </c>
      <c r="W97" s="46">
        <v>-10</v>
      </c>
      <c r="X97" s="140">
        <f t="shared" si="70"/>
        <v>-1.8589999999999998</v>
      </c>
      <c r="Y97" s="138">
        <f t="shared" si="47"/>
        <v>-34.971000000000025</v>
      </c>
      <c r="Z97" s="140">
        <f t="shared" si="37"/>
        <v>-42.535000000000025</v>
      </c>
      <c r="AA97" s="138">
        <v>-10</v>
      </c>
      <c r="AB97" s="140">
        <v>-10</v>
      </c>
      <c r="AC97" s="138">
        <v>-10</v>
      </c>
      <c r="AD97" s="140">
        <f t="shared" si="71"/>
        <v>-1.146</v>
      </c>
      <c r="AE97" s="138">
        <f t="shared" si="49"/>
        <v>-22.33000000000001</v>
      </c>
      <c r="AF97" s="140">
        <f t="shared" si="40"/>
        <v>-63.04800000000006</v>
      </c>
      <c r="AG97" s="138">
        <v>-10</v>
      </c>
      <c r="AH97" s="140">
        <v>-10</v>
      </c>
      <c r="AI97" s="142">
        <v>-10</v>
      </c>
      <c r="AJ97" s="46"/>
      <c r="AK97" s="149">
        <f t="shared" si="52"/>
        <v>1E-13</v>
      </c>
      <c r="AL97" s="151">
        <f t="shared" si="56"/>
        <v>1E-13</v>
      </c>
      <c r="AM97" s="135">
        <f t="shared" si="57"/>
        <v>1E-13</v>
      </c>
      <c r="AN97" s="151">
        <f t="shared" si="58"/>
        <v>1.3835663789717806E-05</v>
      </c>
      <c r="AO97" s="135">
        <f t="shared" si="59"/>
        <v>1.0690548792225928E-38</v>
      </c>
      <c r="AP97" s="151">
        <f t="shared" si="60"/>
        <v>2.9174270140009843E-46</v>
      </c>
      <c r="AQ97" s="135">
        <f t="shared" si="61"/>
        <v>1E-13</v>
      </c>
      <c r="AR97" s="151">
        <f t="shared" si="62"/>
        <v>1E-13</v>
      </c>
      <c r="AS97" s="135">
        <f t="shared" si="63"/>
        <v>1E-13</v>
      </c>
      <c r="AT97" s="151">
        <f t="shared" si="64"/>
        <v>7.144963260755134E-05</v>
      </c>
      <c r="AU97" s="135">
        <f t="shared" si="65"/>
        <v>4.677351412871849E-26</v>
      </c>
      <c r="AV97" s="151">
        <f t="shared" si="66"/>
        <v>8.953647655494663E-67</v>
      </c>
      <c r="AW97" s="135">
        <f t="shared" si="67"/>
        <v>1E-13</v>
      </c>
      <c r="AX97" s="151">
        <f t="shared" si="68"/>
        <v>1E-13</v>
      </c>
      <c r="AY97" s="136">
        <f t="shared" si="69"/>
        <v>1E-13</v>
      </c>
      <c r="AZ97" s="41"/>
      <c r="BA97" s="160">
        <f t="shared" si="54"/>
        <v>68.69505105127126</v>
      </c>
      <c r="BB97" s="161">
        <f t="shared" si="55"/>
        <v>55.721202653411034</v>
      </c>
    </row>
    <row r="98" spans="2:54" ht="12">
      <c r="B98" s="49">
        <v>810</v>
      </c>
      <c r="C98" s="50">
        <v>5.085868E-06</v>
      </c>
      <c r="D98" s="50">
        <v>1.8366E-06</v>
      </c>
      <c r="E98" s="51">
        <v>0</v>
      </c>
      <c r="F98" s="50">
        <v>5.09347E-06</v>
      </c>
      <c r="G98" s="51">
        <v>2.04613E-06</v>
      </c>
      <c r="H98" s="50">
        <v>0</v>
      </c>
      <c r="I98" s="135">
        <f t="shared" si="50"/>
        <v>254.19401787860707</v>
      </c>
      <c r="J98" s="52">
        <v>0</v>
      </c>
      <c r="K98" s="53">
        <v>0</v>
      </c>
      <c r="L98" s="52">
        <f t="shared" si="53"/>
        <v>63.95178887624334</v>
      </c>
      <c r="M98" s="53">
        <v>100</v>
      </c>
      <c r="N98" s="53">
        <v>0</v>
      </c>
      <c r="O98" s="52">
        <v>0</v>
      </c>
      <c r="P98" s="53">
        <v>0</v>
      </c>
      <c r="Q98" s="42">
        <f t="shared" si="51"/>
        <v>78.9513905127611</v>
      </c>
      <c r="R98" s="53">
        <v>53.3</v>
      </c>
      <c r="S98" s="52">
        <v>-8.3</v>
      </c>
      <c r="T98" s="53">
        <v>5.5</v>
      </c>
      <c r="U98" s="67">
        <v>-10</v>
      </c>
      <c r="V98" s="47">
        <v>-10</v>
      </c>
      <c r="W98" s="46">
        <v>-10</v>
      </c>
      <c r="X98" s="140">
        <f t="shared" si="70"/>
        <v>-2.0589999999999997</v>
      </c>
      <c r="Y98" s="138">
        <f t="shared" si="47"/>
        <v>-35.821000000000026</v>
      </c>
      <c r="Z98" s="140">
        <f t="shared" si="37"/>
        <v>-43.23500000000003</v>
      </c>
      <c r="AA98" s="138">
        <v>-10</v>
      </c>
      <c r="AB98" s="140">
        <v>-10</v>
      </c>
      <c r="AC98" s="138">
        <v>-10</v>
      </c>
      <c r="AD98" s="140">
        <f t="shared" si="71"/>
        <v>-1.3459999999999999</v>
      </c>
      <c r="AE98" s="138">
        <f t="shared" si="49"/>
        <v>-22.93000000000001</v>
      </c>
      <c r="AF98" s="140">
        <f t="shared" si="40"/>
        <v>-64.14800000000005</v>
      </c>
      <c r="AG98" s="138">
        <v>-10</v>
      </c>
      <c r="AH98" s="140">
        <v>-10</v>
      </c>
      <c r="AI98" s="142">
        <v>-10</v>
      </c>
      <c r="AJ98" s="46"/>
      <c r="AK98" s="149">
        <f t="shared" si="52"/>
        <v>1E-13</v>
      </c>
      <c r="AL98" s="151">
        <f t="shared" si="56"/>
        <v>1E-13</v>
      </c>
      <c r="AM98" s="135">
        <f t="shared" si="57"/>
        <v>1E-13</v>
      </c>
      <c r="AN98" s="151">
        <f t="shared" si="58"/>
        <v>8.729713683881114E-06</v>
      </c>
      <c r="AO98" s="135">
        <f t="shared" si="59"/>
        <v>1.5100801541640473E-39</v>
      </c>
      <c r="AP98" s="151">
        <f t="shared" si="60"/>
        <v>5.821032177708307E-47</v>
      </c>
      <c r="AQ98" s="135">
        <f t="shared" si="61"/>
        <v>1E-13</v>
      </c>
      <c r="AR98" s="151">
        <f t="shared" si="62"/>
        <v>1E-13</v>
      </c>
      <c r="AS98" s="135">
        <f t="shared" si="63"/>
        <v>1E-13</v>
      </c>
      <c r="AT98" s="151">
        <f t="shared" si="64"/>
        <v>4.5081670454146015E-05</v>
      </c>
      <c r="AU98" s="135">
        <f t="shared" si="65"/>
        <v>1.1748975549394948E-26</v>
      </c>
      <c r="AV98" s="151">
        <f t="shared" si="66"/>
        <v>7.112135136532352E-68</v>
      </c>
      <c r="AW98" s="135">
        <f t="shared" si="67"/>
        <v>1E-13</v>
      </c>
      <c r="AX98" s="151">
        <f t="shared" si="68"/>
        <v>1E-13</v>
      </c>
      <c r="AY98" s="136">
        <f t="shared" si="69"/>
        <v>1E-13</v>
      </c>
      <c r="AZ98" s="41"/>
      <c r="BA98" s="160">
        <f t="shared" si="54"/>
        <v>63.95178887624334</v>
      </c>
      <c r="BB98" s="161">
        <f t="shared" si="55"/>
        <v>51.97353401221134</v>
      </c>
    </row>
    <row r="99" spans="2:54" ht="12">
      <c r="B99" s="49">
        <v>815</v>
      </c>
      <c r="C99" s="50">
        <v>3.581652E-06</v>
      </c>
      <c r="D99" s="50">
        <v>1.2934E-06</v>
      </c>
      <c r="E99" s="51">
        <v>0</v>
      </c>
      <c r="F99" s="50">
        <v>3.7671E-06</v>
      </c>
      <c r="G99" s="51">
        <v>1.51677E-06</v>
      </c>
      <c r="H99" s="50">
        <v>0</v>
      </c>
      <c r="I99" s="135">
        <f t="shared" si="50"/>
        <v>256.09853888635655</v>
      </c>
      <c r="J99" s="52">
        <v>0</v>
      </c>
      <c r="K99" s="53">
        <v>0</v>
      </c>
      <c r="L99" s="52">
        <f t="shared" si="53"/>
        <v>67.38197437505734</v>
      </c>
      <c r="M99" s="53">
        <v>100</v>
      </c>
      <c r="N99" s="53">
        <v>0</v>
      </c>
      <c r="O99" s="52">
        <v>0</v>
      </c>
      <c r="P99" s="53">
        <v>0</v>
      </c>
      <c r="Q99" s="42">
        <f t="shared" si="51"/>
        <v>78.29689884758331</v>
      </c>
      <c r="R99" s="53">
        <v>56.1</v>
      </c>
      <c r="S99" s="52">
        <v>-8.8</v>
      </c>
      <c r="T99" s="53">
        <v>5.8</v>
      </c>
      <c r="U99" s="67">
        <v>-10</v>
      </c>
      <c r="V99" s="47">
        <v>-10</v>
      </c>
      <c r="W99" s="46">
        <v>-10</v>
      </c>
      <c r="X99" s="140">
        <f t="shared" si="70"/>
        <v>-2.259</v>
      </c>
      <c r="Y99" s="138">
        <f t="shared" si="47"/>
        <v>-36.67100000000003</v>
      </c>
      <c r="Z99" s="140">
        <f t="shared" si="37"/>
        <v>-43.93500000000003</v>
      </c>
      <c r="AA99" s="138">
        <v>-10</v>
      </c>
      <c r="AB99" s="140">
        <v>-10</v>
      </c>
      <c r="AC99" s="138">
        <v>-10</v>
      </c>
      <c r="AD99" s="140">
        <f t="shared" si="71"/>
        <v>-1.5459999999999998</v>
      </c>
      <c r="AE99" s="138">
        <f t="shared" si="49"/>
        <v>-23.530000000000012</v>
      </c>
      <c r="AF99" s="140">
        <f t="shared" si="40"/>
        <v>-65.24800000000005</v>
      </c>
      <c r="AG99" s="138">
        <v>-10</v>
      </c>
      <c r="AH99" s="140">
        <v>-10</v>
      </c>
      <c r="AI99" s="142">
        <v>-10</v>
      </c>
      <c r="AJ99" s="46"/>
      <c r="AK99" s="149">
        <f t="shared" si="52"/>
        <v>1E-13</v>
      </c>
      <c r="AL99" s="151">
        <f t="shared" si="56"/>
        <v>1E-13</v>
      </c>
      <c r="AM99" s="135">
        <f t="shared" si="57"/>
        <v>1E-13</v>
      </c>
      <c r="AN99" s="151">
        <f t="shared" si="58"/>
        <v>5.508076964054035E-06</v>
      </c>
      <c r="AO99" s="135">
        <f t="shared" si="59"/>
        <v>2.1330449131464203E-40</v>
      </c>
      <c r="AP99" s="151">
        <f t="shared" si="60"/>
        <v>1.1614486138402526E-47</v>
      </c>
      <c r="AQ99" s="135">
        <f t="shared" si="61"/>
        <v>1E-13</v>
      </c>
      <c r="AR99" s="151">
        <f t="shared" si="62"/>
        <v>1E-13</v>
      </c>
      <c r="AS99" s="135">
        <f t="shared" si="63"/>
        <v>1E-13</v>
      </c>
      <c r="AT99" s="151">
        <f t="shared" si="64"/>
        <v>2.8444611074479165E-05</v>
      </c>
      <c r="AU99" s="135">
        <f t="shared" si="65"/>
        <v>2.9512092266662938E-27</v>
      </c>
      <c r="AV99" s="151">
        <f t="shared" si="66"/>
        <v>5.64936974812234E-69</v>
      </c>
      <c r="AW99" s="135">
        <f t="shared" si="67"/>
        <v>1E-13</v>
      </c>
      <c r="AX99" s="151">
        <f t="shared" si="68"/>
        <v>1E-13</v>
      </c>
      <c r="AY99" s="136">
        <f t="shared" si="69"/>
        <v>1E-13</v>
      </c>
      <c r="AZ99" s="41"/>
      <c r="BA99" s="160">
        <f t="shared" si="54"/>
        <v>67.38197437505734</v>
      </c>
      <c r="BB99" s="161">
        <f t="shared" si="55"/>
        <v>54.71519346028742</v>
      </c>
    </row>
    <row r="100" spans="2:54" ht="12">
      <c r="B100" s="49">
        <v>820</v>
      </c>
      <c r="C100" s="50">
        <v>2.522525E-06</v>
      </c>
      <c r="D100" s="50">
        <v>9.1093E-07</v>
      </c>
      <c r="E100" s="51">
        <v>0</v>
      </c>
      <c r="F100" s="50">
        <v>2.79531E-06</v>
      </c>
      <c r="G100" s="51">
        <v>1.12809E-06</v>
      </c>
      <c r="H100" s="50">
        <v>0</v>
      </c>
      <c r="I100" s="135">
        <f t="shared" si="50"/>
        <v>257.946357151761</v>
      </c>
      <c r="J100" s="52">
        <v>0</v>
      </c>
      <c r="K100" s="53">
        <v>0</v>
      </c>
      <c r="L100" s="52">
        <f t="shared" si="53"/>
        <v>70.81215987387132</v>
      </c>
      <c r="M100" s="53">
        <v>100</v>
      </c>
      <c r="N100" s="53">
        <v>0</v>
      </c>
      <c r="O100" s="52">
        <v>0</v>
      </c>
      <c r="P100" s="53">
        <v>0</v>
      </c>
      <c r="Q100" s="42">
        <f t="shared" si="51"/>
        <v>77.64231731257847</v>
      </c>
      <c r="R100" s="53">
        <v>58.9</v>
      </c>
      <c r="S100" s="52">
        <v>-9.3</v>
      </c>
      <c r="T100" s="53">
        <v>6.1</v>
      </c>
      <c r="U100" s="67">
        <v>-10</v>
      </c>
      <c r="V100" s="47">
        <v>-10</v>
      </c>
      <c r="W100" s="46">
        <v>-10</v>
      </c>
      <c r="X100" s="140">
        <f t="shared" si="70"/>
        <v>-2.459</v>
      </c>
      <c r="Y100" s="138">
        <f t="shared" si="47"/>
        <v>-37.52100000000003</v>
      </c>
      <c r="Z100" s="140">
        <f t="shared" si="37"/>
        <v>-44.63500000000003</v>
      </c>
      <c r="AA100" s="138">
        <v>-10</v>
      </c>
      <c r="AB100" s="140">
        <v>-10</v>
      </c>
      <c r="AC100" s="138">
        <v>-10</v>
      </c>
      <c r="AD100" s="140">
        <f t="shared" si="71"/>
        <v>-1.7459999999999998</v>
      </c>
      <c r="AE100" s="138">
        <f t="shared" si="49"/>
        <v>-24.130000000000013</v>
      </c>
      <c r="AF100" s="140">
        <f t="shared" si="40"/>
        <v>-66.34800000000004</v>
      </c>
      <c r="AG100" s="138">
        <v>-10</v>
      </c>
      <c r="AH100" s="140">
        <v>-10</v>
      </c>
      <c r="AI100" s="142">
        <v>-10</v>
      </c>
      <c r="AJ100" s="46"/>
      <c r="AK100" s="149">
        <f t="shared" si="52"/>
        <v>1E-13</v>
      </c>
      <c r="AL100" s="151">
        <f t="shared" si="56"/>
        <v>1E-13</v>
      </c>
      <c r="AM100" s="135">
        <f t="shared" si="57"/>
        <v>1E-13</v>
      </c>
      <c r="AN100" s="151">
        <f t="shared" si="58"/>
        <v>3.4753616144320564E-06</v>
      </c>
      <c r="AO100" s="135">
        <f t="shared" si="59"/>
        <v>3.0130060241858827E-41</v>
      </c>
      <c r="AP100" s="151">
        <f t="shared" si="60"/>
        <v>2.3173946499682813E-48</v>
      </c>
      <c r="AQ100" s="135">
        <f t="shared" si="61"/>
        <v>1E-13</v>
      </c>
      <c r="AR100" s="151">
        <f t="shared" si="62"/>
        <v>1E-13</v>
      </c>
      <c r="AS100" s="135">
        <f t="shared" si="63"/>
        <v>1E-13</v>
      </c>
      <c r="AT100" s="151">
        <f t="shared" si="64"/>
        <v>1.7947336268325267E-05</v>
      </c>
      <c r="AU100" s="135">
        <f t="shared" si="65"/>
        <v>7.413102413008935E-28</v>
      </c>
      <c r="AV100" s="151">
        <f t="shared" si="66"/>
        <v>4.4874538993308245E-70</v>
      </c>
      <c r="AW100" s="135">
        <f t="shared" si="67"/>
        <v>1E-13</v>
      </c>
      <c r="AX100" s="151">
        <f t="shared" si="68"/>
        <v>1E-13</v>
      </c>
      <c r="AY100" s="136">
        <f t="shared" si="69"/>
        <v>1E-13</v>
      </c>
      <c r="AZ100" s="41"/>
      <c r="BA100" s="160">
        <f t="shared" si="54"/>
        <v>70.81215987387132</v>
      </c>
      <c r="BB100" s="161">
        <f t="shared" si="55"/>
        <v>57.4568529083635</v>
      </c>
    </row>
    <row r="101" spans="2:54" ht="12">
      <c r="B101" s="49">
        <v>825</v>
      </c>
      <c r="C101" s="50">
        <v>1.776509E-06</v>
      </c>
      <c r="D101" s="50">
        <v>6.4153E-07</v>
      </c>
      <c r="E101" s="51">
        <v>0</v>
      </c>
      <c r="F101" s="50">
        <v>2.082E-06</v>
      </c>
      <c r="G101" s="51">
        <v>8.4216E-07</v>
      </c>
      <c r="H101" s="50">
        <v>0</v>
      </c>
      <c r="I101" s="135">
        <f t="shared" si="50"/>
        <v>259.7376520412852</v>
      </c>
      <c r="J101" s="52">
        <v>0</v>
      </c>
      <c r="K101" s="53">
        <v>0</v>
      </c>
      <c r="L101" s="52">
        <f t="shared" si="53"/>
        <v>72.64559008442554</v>
      </c>
      <c r="M101" s="53">
        <v>100</v>
      </c>
      <c r="N101" s="53">
        <v>0</v>
      </c>
      <c r="O101" s="52">
        <v>0</v>
      </c>
      <c r="P101" s="53">
        <v>0</v>
      </c>
      <c r="Q101" s="42">
        <f t="shared" si="51"/>
        <v>76.98793096406561</v>
      </c>
      <c r="R101" s="53">
        <v>60.4</v>
      </c>
      <c r="S101" s="52">
        <v>-9.55</v>
      </c>
      <c r="T101" s="53">
        <v>6.3</v>
      </c>
      <c r="U101" s="67">
        <v>-10</v>
      </c>
      <c r="V101" s="47">
        <v>-10</v>
      </c>
      <c r="W101" s="46">
        <v>-10</v>
      </c>
      <c r="X101" s="140">
        <f t="shared" si="70"/>
        <v>-2.6590000000000003</v>
      </c>
      <c r="Y101" s="138">
        <f t="shared" si="47"/>
        <v>-38.37100000000003</v>
      </c>
      <c r="Z101" s="140">
        <f t="shared" si="37"/>
        <v>-45.335000000000036</v>
      </c>
      <c r="AA101" s="138">
        <v>-10</v>
      </c>
      <c r="AB101" s="140">
        <v>-10</v>
      </c>
      <c r="AC101" s="138">
        <v>-10</v>
      </c>
      <c r="AD101" s="140">
        <f t="shared" si="71"/>
        <v>-1.9459999999999997</v>
      </c>
      <c r="AE101" s="138">
        <f t="shared" si="49"/>
        <v>-24.730000000000015</v>
      </c>
      <c r="AF101" s="140">
        <f t="shared" si="40"/>
        <v>-67.44800000000004</v>
      </c>
      <c r="AG101" s="138">
        <v>-10</v>
      </c>
      <c r="AH101" s="140">
        <v>-10</v>
      </c>
      <c r="AI101" s="142">
        <v>-10</v>
      </c>
      <c r="AJ101" s="46"/>
      <c r="AK101" s="149">
        <f t="shared" si="52"/>
        <v>1E-13</v>
      </c>
      <c r="AL101" s="151">
        <f t="shared" si="56"/>
        <v>1E-13</v>
      </c>
      <c r="AM101" s="135">
        <f t="shared" si="57"/>
        <v>1E-13</v>
      </c>
      <c r="AN101" s="151">
        <f t="shared" si="58"/>
        <v>2.1928049353504457E-06</v>
      </c>
      <c r="AO101" s="135">
        <f t="shared" si="59"/>
        <v>4.255984131337068E-42</v>
      </c>
      <c r="AP101" s="151">
        <f t="shared" si="60"/>
        <v>4.623810213992174E-49</v>
      </c>
      <c r="AQ101" s="135">
        <f t="shared" si="61"/>
        <v>1E-13</v>
      </c>
      <c r="AR101" s="151">
        <f t="shared" si="62"/>
        <v>1E-13</v>
      </c>
      <c r="AS101" s="135">
        <f t="shared" si="63"/>
        <v>1E-13</v>
      </c>
      <c r="AT101" s="151">
        <f t="shared" si="64"/>
        <v>1.132400363235557E-05</v>
      </c>
      <c r="AU101" s="135">
        <f t="shared" si="65"/>
        <v>1.8620871366627913E-28</v>
      </c>
      <c r="AV101" s="151">
        <f t="shared" si="66"/>
        <v>3.5645113342620848E-71</v>
      </c>
      <c r="AW101" s="135">
        <f t="shared" si="67"/>
        <v>1E-13</v>
      </c>
      <c r="AX101" s="151">
        <f t="shared" si="68"/>
        <v>1E-13</v>
      </c>
      <c r="AY101" s="136">
        <f t="shared" si="69"/>
        <v>1E-13</v>
      </c>
      <c r="AZ101" s="41"/>
      <c r="BA101" s="160">
        <f t="shared" si="54"/>
        <v>72.64559008442554</v>
      </c>
      <c r="BB101" s="161">
        <f t="shared" si="55"/>
        <v>58.8932583222235</v>
      </c>
    </row>
    <row r="102" spans="2:54" ht="12.75" thickBot="1">
      <c r="B102" s="84">
        <v>830</v>
      </c>
      <c r="C102" s="85">
        <v>1.251141E-06</v>
      </c>
      <c r="D102" s="85">
        <v>4.5181E-07</v>
      </c>
      <c r="E102" s="86">
        <v>0</v>
      </c>
      <c r="F102" s="85">
        <v>1.55314E-06</v>
      </c>
      <c r="G102" s="86">
        <v>6.297E-07</v>
      </c>
      <c r="H102" s="85">
        <v>0</v>
      </c>
      <c r="I102" s="157">
        <f t="shared" si="50"/>
        <v>261.47264130129435</v>
      </c>
      <c r="J102" s="88">
        <v>0</v>
      </c>
      <c r="K102" s="89">
        <v>0</v>
      </c>
      <c r="L102" s="88">
        <f t="shared" si="53"/>
        <v>74.47902029497976</v>
      </c>
      <c r="M102" s="89">
        <v>100</v>
      </c>
      <c r="N102" s="89">
        <v>0</v>
      </c>
      <c r="O102" s="88">
        <v>0</v>
      </c>
      <c r="P102" s="132">
        <v>0</v>
      </c>
      <c r="Q102" s="87">
        <f t="shared" si="51"/>
        <v>76.33401180711986</v>
      </c>
      <c r="R102" s="89">
        <v>61.9</v>
      </c>
      <c r="S102" s="88">
        <v>-9.8</v>
      </c>
      <c r="T102" s="89">
        <v>6.5</v>
      </c>
      <c r="U102" s="90">
        <v>-10</v>
      </c>
      <c r="V102" s="91">
        <v>-10</v>
      </c>
      <c r="W102" s="92">
        <v>-10</v>
      </c>
      <c r="X102" s="146">
        <f t="shared" si="70"/>
        <v>-2.8590000000000004</v>
      </c>
      <c r="Y102" s="147">
        <f t="shared" si="47"/>
        <v>-39.22100000000003</v>
      </c>
      <c r="Z102" s="146">
        <f t="shared" si="37"/>
        <v>-46.03500000000004</v>
      </c>
      <c r="AA102" s="147">
        <v>-10</v>
      </c>
      <c r="AB102" s="146">
        <v>-10</v>
      </c>
      <c r="AC102" s="147">
        <v>-10</v>
      </c>
      <c r="AD102" s="146">
        <f t="shared" si="71"/>
        <v>-2.146</v>
      </c>
      <c r="AE102" s="147">
        <f t="shared" si="49"/>
        <v>-25.330000000000016</v>
      </c>
      <c r="AF102" s="146">
        <f t="shared" si="40"/>
        <v>-68.54800000000003</v>
      </c>
      <c r="AG102" s="147">
        <v>-10</v>
      </c>
      <c r="AH102" s="146">
        <v>-10</v>
      </c>
      <c r="AI102" s="148">
        <v>-10</v>
      </c>
      <c r="AJ102" s="46"/>
      <c r="AK102" s="156">
        <f t="shared" si="52"/>
        <v>1E-13</v>
      </c>
      <c r="AL102" s="157">
        <f t="shared" si="56"/>
        <v>1E-13</v>
      </c>
      <c r="AM102" s="158">
        <f t="shared" si="57"/>
        <v>1E-13</v>
      </c>
      <c r="AN102" s="157">
        <f t="shared" si="58"/>
        <v>1.383566378971779E-06</v>
      </c>
      <c r="AO102" s="158">
        <f t="shared" si="59"/>
        <v>6.011737374832316E-43</v>
      </c>
      <c r="AP102" s="157">
        <f t="shared" si="60"/>
        <v>9.225714271546705E-50</v>
      </c>
      <c r="AQ102" s="158">
        <f t="shared" si="61"/>
        <v>1E-13</v>
      </c>
      <c r="AR102" s="157">
        <f t="shared" si="62"/>
        <v>1E-13</v>
      </c>
      <c r="AS102" s="158">
        <f t="shared" si="63"/>
        <v>1E-13</v>
      </c>
      <c r="AT102" s="157">
        <f t="shared" si="64"/>
        <v>7.1449632607551285E-06</v>
      </c>
      <c r="AU102" s="158">
        <f t="shared" si="65"/>
        <v>4.677351412871784E-29</v>
      </c>
      <c r="AV102" s="157">
        <f t="shared" si="66"/>
        <v>2.831391995799125E-72</v>
      </c>
      <c r="AW102" s="158">
        <f t="shared" si="67"/>
        <v>1E-13</v>
      </c>
      <c r="AX102" s="157">
        <f t="shared" si="68"/>
        <v>1E-13</v>
      </c>
      <c r="AY102" s="159">
        <f t="shared" si="69"/>
        <v>1E-13</v>
      </c>
      <c r="AZ102" s="41"/>
      <c r="BA102" s="164">
        <f t="shared" si="54"/>
        <v>74.47902029497976</v>
      </c>
      <c r="BB102" s="165">
        <f t="shared" si="55"/>
        <v>60.3296637360835</v>
      </c>
    </row>
  </sheetData>
  <mergeCells count="19">
    <mergeCell ref="C2:H2"/>
    <mergeCell ref="R2:T2"/>
    <mergeCell ref="X2:Z2"/>
    <mergeCell ref="I2:Q2"/>
    <mergeCell ref="AG2:AI2"/>
    <mergeCell ref="AD2:AF2"/>
    <mergeCell ref="AA2:AC2"/>
    <mergeCell ref="BH2:BP2"/>
    <mergeCell ref="BA2:BB2"/>
    <mergeCell ref="BD38:BE38"/>
    <mergeCell ref="AN2:AP2"/>
    <mergeCell ref="BD10:BE10"/>
    <mergeCell ref="BD16:BE16"/>
    <mergeCell ref="BD2:BE2"/>
    <mergeCell ref="AQ2:AS2"/>
    <mergeCell ref="AT2:AV2"/>
    <mergeCell ref="AW2:AY2"/>
    <mergeCell ref="BD20:BE20"/>
    <mergeCell ref="BD29:B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big_brother</cp:lastModifiedBy>
  <dcterms:created xsi:type="dcterms:W3CDTF">2003-04-07T16:04:16Z</dcterms:created>
  <dcterms:modified xsi:type="dcterms:W3CDTF">2012-02-06T20:55:18Z</dcterms:modified>
  <cp:category/>
  <cp:version/>
  <cp:contentType/>
  <cp:contentStatus/>
</cp:coreProperties>
</file>