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040" yWindow="260" windowWidth="13020" windowHeight="12500" firstSheet="6" activeTab="9"/>
  </bookViews>
  <sheets>
    <sheet name="CIELAB" sheetId="1" r:id="rId1"/>
    <sheet name="Nayatani et al." sheetId="2" r:id="rId2"/>
    <sheet name="Hunt" sheetId="3" r:id="rId3"/>
    <sheet name="RLAB" sheetId="4" r:id="rId4"/>
    <sheet name="ATD" sheetId="5" r:id="rId5"/>
    <sheet name="LLAB" sheetId="6" r:id="rId6"/>
    <sheet name="CIECAM97s" sheetId="7" r:id="rId7"/>
    <sheet name="ZLAB" sheetId="8" r:id="rId8"/>
    <sheet name="CIECAM97s Revision" sheetId="9" r:id="rId9"/>
    <sheet name="CIECAM02" sheetId="10" r:id="rId10"/>
  </sheets>
  <definedNames>
    <definedName name="_xlnm.Print_Area" localSheetId="4">'ATD'!$A$1:$E$42</definedName>
    <definedName name="_xlnm.Print_Area" localSheetId="6">'CIECAM97s'!$A$1:$E$68</definedName>
    <definedName name="_xlnm.Print_Area" localSheetId="0">'CIELAB'!$A$1:$E$19</definedName>
    <definedName name="_xlnm.Print_Area" localSheetId="2">'Hunt'!$A$1:$E$89</definedName>
    <definedName name="_xlnm.Print_Area" localSheetId="5">'LLAB'!$A$1:$E$52</definedName>
    <definedName name="_xlnm.Print_Area" localSheetId="1">'Nayatani et al.'!$A$1:$E$54</definedName>
    <definedName name="_xlnm.Print_Area" localSheetId="3">'RLAB'!$A$1:$E$42</definedName>
    <definedName name="_xlnm.Print_Area" localSheetId="7">'ZLAB'!$A$1:$E$37</definedName>
  </definedNames>
  <calcPr fullCalcOnLoad="1"/>
</workbook>
</file>

<file path=xl/sharedStrings.xml><?xml version="1.0" encoding="utf-8"?>
<sst xmlns="http://schemas.openxmlformats.org/spreadsheetml/2006/main" count="579" uniqueCount="295">
  <si>
    <t>Nayatani et al.</t>
  </si>
  <si>
    <t>Yo</t>
  </si>
  <si>
    <t>Eo</t>
  </si>
  <si>
    <t>Eor</t>
  </si>
  <si>
    <t>Lo</t>
  </si>
  <si>
    <t>Lor</t>
  </si>
  <si>
    <t>xo</t>
  </si>
  <si>
    <t>yo</t>
  </si>
  <si>
    <t>xi</t>
  </si>
  <si>
    <t>eta</t>
  </si>
  <si>
    <t>zeta</t>
  </si>
  <si>
    <t>Ro</t>
  </si>
  <si>
    <t>Go</t>
  </si>
  <si>
    <t>Bo</t>
  </si>
  <si>
    <t>Beta1(Ro)</t>
  </si>
  <si>
    <t>Beta1(Go)</t>
  </si>
  <si>
    <t>Beta2(Bo)</t>
  </si>
  <si>
    <t>Beta1(Lor)</t>
  </si>
  <si>
    <t>R</t>
  </si>
  <si>
    <t>G</t>
  </si>
  <si>
    <t>B</t>
  </si>
  <si>
    <t>e(R)</t>
  </si>
  <si>
    <t>e(G)</t>
  </si>
  <si>
    <t>n</t>
  </si>
  <si>
    <t>Q</t>
  </si>
  <si>
    <t>t</t>
  </si>
  <si>
    <t>p</t>
  </si>
  <si>
    <t>theta</t>
  </si>
  <si>
    <t>Br</t>
  </si>
  <si>
    <t>Brw</t>
  </si>
  <si>
    <t>L*P</t>
  </si>
  <si>
    <t>L*N</t>
  </si>
  <si>
    <t>H</t>
  </si>
  <si>
    <t>Hc (Red)</t>
  </si>
  <si>
    <t>Hc (Yellow)</t>
  </si>
  <si>
    <t>Hc (Green)</t>
  </si>
  <si>
    <t>Hc (Blue)</t>
  </si>
  <si>
    <t>Es(theta)</t>
  </si>
  <si>
    <t>SRG</t>
  </si>
  <si>
    <t>SYB</t>
  </si>
  <si>
    <t>S</t>
  </si>
  <si>
    <t>CRG</t>
  </si>
  <si>
    <t>CYB</t>
  </si>
  <si>
    <t>C</t>
  </si>
  <si>
    <t>MRG</t>
  </si>
  <si>
    <t>MYB</t>
  </si>
  <si>
    <t>M</t>
  </si>
  <si>
    <t>Hunt</t>
  </si>
  <si>
    <t>XW</t>
  </si>
  <si>
    <t>YW</t>
  </si>
  <si>
    <t>ZW</t>
  </si>
  <si>
    <t>T</t>
  </si>
  <si>
    <t>LA</t>
  </si>
  <si>
    <t>LAS</t>
  </si>
  <si>
    <t>Yb</t>
  </si>
  <si>
    <t>Nc</t>
  </si>
  <si>
    <t>Nb</t>
  </si>
  <si>
    <t>Ncb</t>
  </si>
  <si>
    <t>Nbb</t>
  </si>
  <si>
    <t>rho</t>
  </si>
  <si>
    <t>gamma</t>
  </si>
  <si>
    <t>beta</t>
  </si>
  <si>
    <t>rhoW</t>
  </si>
  <si>
    <t>gammaW</t>
  </si>
  <si>
    <t>betaW</t>
  </si>
  <si>
    <t>Discounting (Y=1, N=0)</t>
  </si>
  <si>
    <t>Helson-Judd (Y=1, N=0)</t>
  </si>
  <si>
    <t>Brho</t>
  </si>
  <si>
    <t>Bgamma</t>
  </si>
  <si>
    <t>Bbeta</t>
  </si>
  <si>
    <t>k</t>
  </si>
  <si>
    <t>FL</t>
  </si>
  <si>
    <t>hrho</t>
  </si>
  <si>
    <t>hgamma</t>
  </si>
  <si>
    <t>hbeta</t>
  </si>
  <si>
    <t>Frho</t>
  </si>
  <si>
    <t>Fgamma</t>
  </si>
  <si>
    <t>Fbeta</t>
  </si>
  <si>
    <t>rhoD</t>
  </si>
  <si>
    <t>gammaD</t>
  </si>
  <si>
    <t>betaD</t>
  </si>
  <si>
    <t>rho a</t>
  </si>
  <si>
    <t>gamma a</t>
  </si>
  <si>
    <t>beta a</t>
  </si>
  <si>
    <t>rho aW</t>
  </si>
  <si>
    <t>gamma aW</t>
  </si>
  <si>
    <t>beta aW</t>
  </si>
  <si>
    <t>Aa</t>
  </si>
  <si>
    <t>AaW</t>
  </si>
  <si>
    <t>C1</t>
  </si>
  <si>
    <t xml:space="preserve"> </t>
  </si>
  <si>
    <t>C2</t>
  </si>
  <si>
    <t>C3</t>
  </si>
  <si>
    <t>C1W</t>
  </si>
  <si>
    <t>C2W</t>
  </si>
  <si>
    <t>C3W</t>
  </si>
  <si>
    <t>h1</t>
  </si>
  <si>
    <t>h2</t>
  </si>
  <si>
    <t>hs</t>
  </si>
  <si>
    <t>es</t>
  </si>
  <si>
    <t>h1W</t>
  </si>
  <si>
    <t>h2W</t>
  </si>
  <si>
    <t>hsW</t>
  </si>
  <si>
    <t>esW</t>
  </si>
  <si>
    <t>Ft</t>
  </si>
  <si>
    <t>MRG W</t>
  </si>
  <si>
    <t>MYB W</t>
  </si>
  <si>
    <t>M W</t>
  </si>
  <si>
    <t>s</t>
  </si>
  <si>
    <t>Bs</t>
  </si>
  <si>
    <t>BsW</t>
  </si>
  <si>
    <t>j</t>
  </si>
  <si>
    <t>FLS</t>
  </si>
  <si>
    <t>AS</t>
  </si>
  <si>
    <t>CIECAM02</t>
  </si>
  <si>
    <t>ac</t>
  </si>
  <si>
    <t>bc</t>
  </si>
  <si>
    <t>A</t>
  </si>
  <si>
    <t>ASW</t>
  </si>
  <si>
    <t>AW</t>
  </si>
  <si>
    <t>N1</t>
  </si>
  <si>
    <t>N2</t>
  </si>
  <si>
    <t>QW</t>
  </si>
  <si>
    <t>z</t>
  </si>
  <si>
    <t>J</t>
  </si>
  <si>
    <t>C94</t>
  </si>
  <si>
    <t>M94</t>
  </si>
  <si>
    <t>RLAB</t>
  </si>
  <si>
    <t>Yn (cd/m2)</t>
  </si>
  <si>
    <t>sigma</t>
  </si>
  <si>
    <t>D</t>
  </si>
  <si>
    <t>L</t>
  </si>
  <si>
    <t>Ln</t>
  </si>
  <si>
    <t>Mn</t>
  </si>
  <si>
    <t>Sn</t>
  </si>
  <si>
    <t>lE</t>
  </si>
  <si>
    <t>mE</t>
  </si>
  <si>
    <t>sE</t>
  </si>
  <si>
    <t>pL</t>
  </si>
  <si>
    <t>pM</t>
  </si>
  <si>
    <t>pS</t>
  </si>
  <si>
    <t>aL</t>
  </si>
  <si>
    <t>aM</t>
  </si>
  <si>
    <t>aS</t>
  </si>
  <si>
    <t>La</t>
  </si>
  <si>
    <t>Ma</t>
  </si>
  <si>
    <t>Sa</t>
  </si>
  <si>
    <t>Revision of CIECAM97s (Fairchild, 2000)</t>
  </si>
  <si>
    <t>aC</t>
  </si>
  <si>
    <t>bC</t>
  </si>
  <si>
    <t>bM</t>
  </si>
  <si>
    <t>as</t>
  </si>
  <si>
    <t>bs</t>
  </si>
  <si>
    <t>Xref</t>
  </si>
  <si>
    <t>Yref</t>
  </si>
  <si>
    <t>Zref</t>
  </si>
  <si>
    <t>LR</t>
  </si>
  <si>
    <t>aR</t>
  </si>
  <si>
    <t>bR</t>
  </si>
  <si>
    <t>CR</t>
  </si>
  <si>
    <t>sR</t>
  </si>
  <si>
    <t>hR</t>
  </si>
  <si>
    <t>HR (red)</t>
  </si>
  <si>
    <t>HR (yellow)</t>
  </si>
  <si>
    <t>HR (green)</t>
  </si>
  <si>
    <t>HR (blue)</t>
  </si>
  <si>
    <t>ATD</t>
  </si>
  <si>
    <t>Xo</t>
  </si>
  <si>
    <t>Zo</t>
  </si>
  <si>
    <t>Yo (cd/m2)</t>
  </si>
  <si>
    <t>k1</t>
  </si>
  <si>
    <t>k2</t>
  </si>
  <si>
    <t>X (td)</t>
  </si>
  <si>
    <t>Y (td)</t>
  </si>
  <si>
    <t>Z (td)</t>
  </si>
  <si>
    <t>Xa (td)</t>
  </si>
  <si>
    <t>Ya (td)</t>
  </si>
  <si>
    <t>Za (td)</t>
  </si>
  <si>
    <t>Lg</t>
  </si>
  <si>
    <t>Mg</t>
  </si>
  <si>
    <t>Sg</t>
  </si>
  <si>
    <t>A1i</t>
  </si>
  <si>
    <t>T1i</t>
  </si>
  <si>
    <t>D1i</t>
  </si>
  <si>
    <t>A2i</t>
  </si>
  <si>
    <t>T2i</t>
  </si>
  <si>
    <t>D2i</t>
  </si>
  <si>
    <t>A1</t>
  </si>
  <si>
    <t>T1</t>
  </si>
  <si>
    <t>D1</t>
  </si>
  <si>
    <t>A2</t>
  </si>
  <si>
    <t>T2</t>
  </si>
  <si>
    <t>D2</t>
  </si>
  <si>
    <t>LLAB</t>
  </si>
  <si>
    <t>Xor</t>
  </si>
  <si>
    <t>Yor</t>
  </si>
  <si>
    <t>Zor</t>
  </si>
  <si>
    <t>L (cd/m2)</t>
  </si>
  <si>
    <t>FS</t>
  </si>
  <si>
    <t>FC</t>
  </si>
  <si>
    <t>Ror</t>
  </si>
  <si>
    <t>Gor</t>
  </si>
  <si>
    <t>Bor</t>
  </si>
  <si>
    <t>Beta</t>
  </si>
  <si>
    <t>Rr</t>
  </si>
  <si>
    <t>Gr</t>
  </si>
  <si>
    <t>Xr</t>
  </si>
  <si>
    <t>Yr</t>
  </si>
  <si>
    <t>Zr</t>
  </si>
  <si>
    <t>f(Xr)</t>
  </si>
  <si>
    <t>f(Yr)</t>
  </si>
  <si>
    <t>f(Zr)</t>
  </si>
  <si>
    <t>LL</t>
  </si>
  <si>
    <t>ChL</t>
  </si>
  <si>
    <t>SL</t>
  </si>
  <si>
    <t>SC</t>
  </si>
  <si>
    <t>SM</t>
  </si>
  <si>
    <t>CL</t>
  </si>
  <si>
    <t>hL</t>
  </si>
  <si>
    <t>AL</t>
  </si>
  <si>
    <t>BL</t>
  </si>
  <si>
    <t>CIECAM97s</t>
  </si>
  <si>
    <t>Xw</t>
  </si>
  <si>
    <t>Yw</t>
  </si>
  <si>
    <t>Zw</t>
  </si>
  <si>
    <t>LA (cd/m2)</t>
  </si>
  <si>
    <t>F</t>
  </si>
  <si>
    <t>c</t>
  </si>
  <si>
    <t>FLL</t>
  </si>
  <si>
    <t>Rw</t>
  </si>
  <si>
    <t>Gw</t>
  </si>
  <si>
    <t>Bw</t>
  </si>
  <si>
    <t>Rc</t>
  </si>
  <si>
    <t>Gc</t>
  </si>
  <si>
    <t>Bc</t>
  </si>
  <si>
    <t>Rcw</t>
  </si>
  <si>
    <t>Gcw</t>
  </si>
  <si>
    <t>Bcw</t>
  </si>
  <si>
    <t>Xc</t>
  </si>
  <si>
    <t>Yc</t>
  </si>
  <si>
    <t>Zc</t>
  </si>
  <si>
    <t>Xcw</t>
  </si>
  <si>
    <t>Ycw</t>
  </si>
  <si>
    <t>Zcw</t>
  </si>
  <si>
    <t>R'</t>
  </si>
  <si>
    <t>G'</t>
  </si>
  <si>
    <t>B'</t>
  </si>
  <si>
    <t>R'w</t>
  </si>
  <si>
    <t>G'w</t>
  </si>
  <si>
    <t>B'w</t>
  </si>
  <si>
    <t>R'a</t>
  </si>
  <si>
    <t>G'a</t>
  </si>
  <si>
    <t>B'a</t>
  </si>
  <si>
    <t>R'aw</t>
  </si>
  <si>
    <t>G'aw</t>
  </si>
  <si>
    <t>B'aw</t>
  </si>
  <si>
    <t>a</t>
  </si>
  <si>
    <t>b</t>
  </si>
  <si>
    <t>h</t>
  </si>
  <si>
    <t>e</t>
  </si>
  <si>
    <t>Aw</t>
  </si>
  <si>
    <t>ZLAB</t>
  </si>
  <si>
    <t>1/2sigma</t>
  </si>
  <si>
    <t>Lz</t>
  </si>
  <si>
    <t>Cz</t>
  </si>
  <si>
    <t>sz</t>
  </si>
  <si>
    <t>hz</t>
  </si>
  <si>
    <t>az</t>
  </si>
  <si>
    <t>bz</t>
  </si>
  <si>
    <t>Hc (red)</t>
  </si>
  <si>
    <t>Hc (yellow)</t>
  </si>
  <si>
    <t>Hc (green)</t>
  </si>
  <si>
    <t>Hc (blue)</t>
  </si>
  <si>
    <t>CIELAB</t>
  </si>
  <si>
    <t>Case 1</t>
  </si>
  <si>
    <t>Case 2</t>
  </si>
  <si>
    <t>Case 3</t>
  </si>
  <si>
    <t>Case 4</t>
  </si>
  <si>
    <t>X</t>
  </si>
  <si>
    <t>Y</t>
  </si>
  <si>
    <t>Z</t>
  </si>
  <si>
    <t>Xn</t>
  </si>
  <si>
    <t>Yn</t>
  </si>
  <si>
    <t>Zn</t>
  </si>
  <si>
    <t>X/Xn</t>
  </si>
  <si>
    <t>Y/Yn</t>
  </si>
  <si>
    <t>Z/Zn</t>
  </si>
  <si>
    <t>f(X/Xn)</t>
  </si>
  <si>
    <t>f(Y/Yn)</t>
  </si>
  <si>
    <t>f(Z/Zn)</t>
  </si>
  <si>
    <t>L*</t>
  </si>
  <si>
    <t>a*</t>
  </si>
  <si>
    <t>b*</t>
  </si>
  <si>
    <t>C*ab</t>
  </si>
  <si>
    <t>hab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</si>
</sst>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00000"/>
    <numFmt numFmtId="168" formatCode="0.00000"/>
    <numFmt numFmtId="169" formatCode="0.0000000"/>
    <numFmt numFmtId="170" formatCode="0.00000000"/>
    <numFmt numFmtId="171" formatCode="0.000000000"/>
  </numFmts>
  <fonts count="8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u val="single"/>
      <sz val="10"/>
      <name val="Geneva"/>
      <family val="0"/>
    </font>
    <font>
      <b/>
      <i/>
      <sz val="12"/>
      <name val="Geneva"/>
      <family val="0"/>
    </font>
    <font>
      <u val="single"/>
      <sz val="10"/>
      <color indexed="12"/>
      <name val="Geneva"/>
      <family val="0"/>
    </font>
    <font>
      <u val="single"/>
      <sz val="10"/>
      <color indexed="36"/>
      <name val="Genev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1" fontId="0" fillId="0" borderId="0" xfId="0" applyNumberFormat="1" applyAlignment="1">
      <alignment/>
    </xf>
    <xf numFmtId="168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0" fontId="0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9"/>
  <sheetViews>
    <sheetView workbookViewId="0" topLeftCell="A1">
      <selection activeCell="A1" sqref="A1:E19"/>
    </sheetView>
  </sheetViews>
  <sheetFormatPr defaultColWidth="11.00390625" defaultRowHeight="12.75"/>
  <cols>
    <col min="1" max="1" width="10.75390625" style="5" customWidth="1"/>
  </cols>
  <sheetData>
    <row r="1" ht="15.75">
      <c r="A1" s="7" t="s">
        <v>273</v>
      </c>
    </row>
    <row r="2" spans="2:5" ht="12.75">
      <c r="B2" s="6" t="s">
        <v>274</v>
      </c>
      <c r="C2" s="6" t="s">
        <v>275</v>
      </c>
      <c r="D2" s="6" t="s">
        <v>276</v>
      </c>
      <c r="E2" s="6" t="s">
        <v>277</v>
      </c>
    </row>
    <row r="3" spans="1:5" ht="12.75">
      <c r="A3" s="5" t="s">
        <v>278</v>
      </c>
      <c r="B3" s="2">
        <v>19.01</v>
      </c>
      <c r="C3">
        <v>57.06</v>
      </c>
      <c r="D3">
        <v>3.53</v>
      </c>
      <c r="E3">
        <v>19.01</v>
      </c>
    </row>
    <row r="4" spans="1:5" ht="12.75">
      <c r="A4" s="5" t="s">
        <v>279</v>
      </c>
      <c r="B4" s="2">
        <v>20</v>
      </c>
      <c r="C4">
        <v>43.06</v>
      </c>
      <c r="D4">
        <v>6.56</v>
      </c>
      <c r="E4" s="2">
        <v>20</v>
      </c>
    </row>
    <row r="5" spans="1:5" ht="12.75">
      <c r="A5" s="5" t="s">
        <v>280</v>
      </c>
      <c r="B5" s="2">
        <v>21.78</v>
      </c>
      <c r="C5">
        <v>31.96</v>
      </c>
      <c r="D5">
        <v>2.14</v>
      </c>
      <c r="E5">
        <v>21.78</v>
      </c>
    </row>
    <row r="6" spans="1:5" ht="12.75">
      <c r="A6" s="5" t="s">
        <v>281</v>
      </c>
      <c r="B6" s="2">
        <v>95.05</v>
      </c>
      <c r="C6">
        <v>95.05</v>
      </c>
      <c r="D6">
        <v>109.85</v>
      </c>
      <c r="E6">
        <v>109.85</v>
      </c>
    </row>
    <row r="7" spans="1:5" ht="12.75">
      <c r="A7" s="5" t="s">
        <v>282</v>
      </c>
      <c r="B7" s="2">
        <v>100</v>
      </c>
      <c r="C7" s="2">
        <v>100</v>
      </c>
      <c r="D7" s="2">
        <v>100</v>
      </c>
      <c r="E7" s="2">
        <v>100</v>
      </c>
    </row>
    <row r="8" spans="1:5" ht="12.75">
      <c r="A8" s="5" t="s">
        <v>283</v>
      </c>
      <c r="B8" s="2">
        <v>108.88</v>
      </c>
      <c r="C8">
        <v>108.88</v>
      </c>
      <c r="D8">
        <v>35.58</v>
      </c>
      <c r="E8">
        <v>35.58</v>
      </c>
    </row>
    <row r="9" spans="1:5" ht="12.75">
      <c r="A9" s="5" t="s">
        <v>284</v>
      </c>
      <c r="B9" s="4">
        <f>B3/B6</f>
        <v>0.2</v>
      </c>
      <c r="C9" s="4">
        <f>C3/C6</f>
        <v>0.6003156233561284</v>
      </c>
      <c r="D9" s="4">
        <f>D3/D6</f>
        <v>0.0321347291761493</v>
      </c>
      <c r="E9" s="4">
        <f>E3/E6</f>
        <v>0.17305416477014113</v>
      </c>
    </row>
    <row r="10" spans="1:5" ht="12.75">
      <c r="A10" s="5" t="s">
        <v>285</v>
      </c>
      <c r="B10" s="4">
        <f aca="true" t="shared" si="0" ref="B10:E11">B4/B7</f>
        <v>0.2</v>
      </c>
      <c r="C10" s="4">
        <f t="shared" si="0"/>
        <v>0.43060000000000004</v>
      </c>
      <c r="D10" s="4">
        <f t="shared" si="0"/>
        <v>0.06559999999999999</v>
      </c>
      <c r="E10" s="4">
        <f t="shared" si="0"/>
        <v>0.2</v>
      </c>
    </row>
    <row r="11" spans="1:5" ht="12.75">
      <c r="A11" s="5" t="s">
        <v>286</v>
      </c>
      <c r="B11" s="4">
        <f t="shared" si="0"/>
        <v>0.20003673769287292</v>
      </c>
      <c r="C11" s="4">
        <f t="shared" si="0"/>
        <v>0.2935341660543718</v>
      </c>
      <c r="D11" s="4">
        <f t="shared" si="0"/>
        <v>0.06014614952220349</v>
      </c>
      <c r="E11" s="4">
        <f t="shared" si="0"/>
        <v>0.612141652613828</v>
      </c>
    </row>
    <row r="12" spans="1:5" ht="12.75">
      <c r="A12" s="5" t="s">
        <v>287</v>
      </c>
      <c r="B12" s="4">
        <f>IF(B9&gt;0.008856,B9^(1/3),7.787*B9+16/116)</f>
        <v>0.5848035476425733</v>
      </c>
      <c r="C12" s="4">
        <f>IF(C9&gt;0.008856,C9^(1/3),7.787*C9+16/116)</f>
        <v>0.8435805321815849</v>
      </c>
      <c r="D12" s="4">
        <f>IF(D9&gt;0.008856,D9^(1/3),7.787*D9+16/116)</f>
        <v>0.31792514744735073</v>
      </c>
      <c r="E12" s="4">
        <f>IF(E9&gt;0.008856,E9^(1/3),7.787*E9+16/116)</f>
        <v>0.5572636115209663</v>
      </c>
    </row>
    <row r="13" spans="1:5" ht="12.75">
      <c r="A13" s="5" t="s">
        <v>288</v>
      </c>
      <c r="B13" s="4">
        <f aca="true" t="shared" si="1" ref="B13:E14">IF(B10&gt;0.008856,B10^(1/3),7.787*B10+16/116)</f>
        <v>0.5848035476425733</v>
      </c>
      <c r="C13" s="4">
        <f t="shared" si="1"/>
        <v>0.7551351307035873</v>
      </c>
      <c r="D13" s="4">
        <f t="shared" si="1"/>
        <v>0.40330593504362094</v>
      </c>
      <c r="E13" s="4">
        <f t="shared" si="1"/>
        <v>0.5848035476425733</v>
      </c>
    </row>
    <row r="14" spans="1:5" ht="12.75">
      <c r="A14" s="5" t="s">
        <v>289</v>
      </c>
      <c r="B14" s="4">
        <f t="shared" si="1"/>
        <v>0.5848393526722129</v>
      </c>
      <c r="C14" s="4">
        <f t="shared" si="1"/>
        <v>0.6645885981625612</v>
      </c>
      <c r="D14" s="4">
        <f t="shared" si="1"/>
        <v>0.39180437084215763</v>
      </c>
      <c r="E14" s="4">
        <f t="shared" si="1"/>
        <v>0.8490839740107292</v>
      </c>
    </row>
    <row r="15" spans="1:5" ht="12.75">
      <c r="A15" s="5" t="s">
        <v>290</v>
      </c>
      <c r="B15" s="2">
        <f>116*B13-16</f>
        <v>51.837211526538496</v>
      </c>
      <c r="C15" s="2">
        <f>116*C13-16</f>
        <v>71.59567516161613</v>
      </c>
      <c r="D15" s="2">
        <f>116*D13-16</f>
        <v>30.78348846506003</v>
      </c>
      <c r="E15" s="2">
        <f>116*E13-16</f>
        <v>51.837211526538496</v>
      </c>
    </row>
    <row r="16" spans="1:5" ht="12.75">
      <c r="A16" s="5" t="s">
        <v>291</v>
      </c>
      <c r="B16" s="2">
        <f>500*(B12-B13)</f>
        <v>0</v>
      </c>
      <c r="C16" s="2">
        <f>500*(C12-C13)</f>
        <v>44.22270073899881</v>
      </c>
      <c r="D16" s="2">
        <f>500*(D12-D13)</f>
        <v>-42.690393798135105</v>
      </c>
      <c r="E16" s="2">
        <f>500*(E12-E13)</f>
        <v>-13.769968060803494</v>
      </c>
    </row>
    <row r="17" spans="1:5" ht="12.75">
      <c r="A17" s="5" t="s">
        <v>292</v>
      </c>
      <c r="B17" s="2">
        <f>200*(B13-B14)</f>
        <v>-0.007161005927924791</v>
      </c>
      <c r="C17" s="2">
        <f>200*(C13-C14)</f>
        <v>18.109306508205215</v>
      </c>
      <c r="D17" s="2">
        <f>200*(D13-D14)</f>
        <v>2.300312840292662</v>
      </c>
      <c r="E17" s="2">
        <f>200*(E13-E14)</f>
        <v>-52.856085273631194</v>
      </c>
    </row>
    <row r="18" spans="1:5" ht="12.75">
      <c r="A18" s="5" t="s">
        <v>293</v>
      </c>
      <c r="B18" s="2">
        <f>SQRT(B16^2+B17^2)</f>
        <v>0.007161005927924791</v>
      </c>
      <c r="C18" s="2">
        <f>SQRT(C16^2+C17^2)</f>
        <v>47.78696729087513</v>
      </c>
      <c r="D18" s="2">
        <f>SQRT(D16^2+D17^2)</f>
        <v>42.752323466720114</v>
      </c>
      <c r="E18" s="2">
        <f>SQRT(E16^2+E17^2)</f>
        <v>54.62030548110218</v>
      </c>
    </row>
    <row r="19" spans="1:5" ht="12.75">
      <c r="A19" s="5" t="s">
        <v>294</v>
      </c>
      <c r="B19" s="1">
        <f>IF(B17&gt;=0,(360/(2*PI()))*ATAN2(B16,B17),360+(360/(2*PI()))*ATAN2(B16,B17))</f>
        <v>270</v>
      </c>
      <c r="C19" s="1">
        <f>IF(C17&gt;=0,(360/(2*PI()))*ATAN2(C16,C17),360+(360/(2*PI()))*ATAN2(C16,C17))</f>
        <v>22.26922232082723</v>
      </c>
      <c r="D19" s="1">
        <f>IF(D17&gt;=0,(360/(2*PI()))*ATAN2(D16,D17),360+(360/(2*PI()))*ATAN2(D16,D17))</f>
        <v>176.91567888959136</v>
      </c>
      <c r="E19" s="1">
        <f>IF(E17&gt;=0,(360/(2*PI()))*ATAN2(E16,E17),360+(360/(2*PI()))*ATAN2(E16,E17))</f>
        <v>255.39798083803817</v>
      </c>
    </row>
  </sheetData>
  <printOptions gridLines="1" headings="1" horizontalCentered="1" verticalCentered="1"/>
  <pageMargins left="0.75" right="0.75" top="1" bottom="1" header="0.5" footer="0.5"/>
  <pageSetup fitToHeight="1" fitToWidth="1" orientation="portrait" paperSize="9"/>
  <headerFooter alignWithMargins="0">
    <oddHeader>&amp;C&amp;A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E74"/>
  <sheetViews>
    <sheetView tabSelected="1" workbookViewId="0" topLeftCell="A1">
      <selection activeCell="A1" sqref="A1"/>
    </sheetView>
  </sheetViews>
  <sheetFormatPr defaultColWidth="11.00390625" defaultRowHeight="12.75"/>
  <sheetData>
    <row r="1" ht="15.75">
      <c r="A1" s="7" t="s">
        <v>114</v>
      </c>
    </row>
    <row r="2" spans="1:5" ht="12.75">
      <c r="A2" s="5"/>
      <c r="B2" s="6" t="s">
        <v>274</v>
      </c>
      <c r="C2" s="6" t="s">
        <v>275</v>
      </c>
      <c r="D2" s="6" t="s">
        <v>276</v>
      </c>
      <c r="E2" s="6" t="s">
        <v>277</v>
      </c>
    </row>
    <row r="3" spans="1:5" ht="12.75">
      <c r="A3" s="5" t="s">
        <v>278</v>
      </c>
      <c r="B3" s="2">
        <v>19.01</v>
      </c>
      <c r="C3">
        <v>57.06</v>
      </c>
      <c r="D3">
        <v>3.53</v>
      </c>
      <c r="E3">
        <v>19.01</v>
      </c>
    </row>
    <row r="4" spans="1:5" ht="12.75">
      <c r="A4" s="5" t="s">
        <v>279</v>
      </c>
      <c r="B4" s="2">
        <v>20</v>
      </c>
      <c r="C4">
        <v>43.06</v>
      </c>
      <c r="D4">
        <v>6.56</v>
      </c>
      <c r="E4" s="2">
        <v>20</v>
      </c>
    </row>
    <row r="5" spans="1:5" ht="12.75">
      <c r="A5" s="5" t="s">
        <v>280</v>
      </c>
      <c r="B5" s="2">
        <v>21.78</v>
      </c>
      <c r="C5">
        <v>31.96</v>
      </c>
      <c r="D5">
        <v>2.14</v>
      </c>
      <c r="E5">
        <v>21.78</v>
      </c>
    </row>
    <row r="6" spans="1:5" ht="12.75">
      <c r="A6" s="5" t="s">
        <v>222</v>
      </c>
      <c r="B6" s="2">
        <v>95.05</v>
      </c>
      <c r="C6">
        <v>95.05</v>
      </c>
      <c r="D6">
        <v>109.85</v>
      </c>
      <c r="E6">
        <v>109.85</v>
      </c>
    </row>
    <row r="7" spans="1:5" ht="12.75">
      <c r="A7" s="5" t="s">
        <v>223</v>
      </c>
      <c r="B7" s="2">
        <v>100</v>
      </c>
      <c r="C7" s="2">
        <v>100</v>
      </c>
      <c r="D7" s="2">
        <v>100</v>
      </c>
      <c r="E7" s="2">
        <v>100</v>
      </c>
    </row>
    <row r="8" spans="1:5" ht="12.75">
      <c r="A8" s="5" t="s">
        <v>224</v>
      </c>
      <c r="B8" s="2">
        <v>108.88</v>
      </c>
      <c r="C8">
        <v>108.88</v>
      </c>
      <c r="D8">
        <v>35.58</v>
      </c>
      <c r="E8">
        <v>35.58</v>
      </c>
    </row>
    <row r="9" spans="1:5" ht="12.75">
      <c r="A9" s="5" t="s">
        <v>225</v>
      </c>
      <c r="B9" s="2">
        <v>318.30988618379</v>
      </c>
      <c r="C9" s="2">
        <v>31.830988618379067</v>
      </c>
      <c r="D9" s="2">
        <v>318.3098861837907</v>
      </c>
      <c r="E9" s="2">
        <v>31.830988618379067</v>
      </c>
    </row>
    <row r="10" spans="1:5" ht="12.75">
      <c r="A10" s="5" t="s">
        <v>226</v>
      </c>
      <c r="B10" s="1">
        <v>1</v>
      </c>
      <c r="C10" s="1">
        <v>1</v>
      </c>
      <c r="D10" s="1">
        <v>1</v>
      </c>
      <c r="E10" s="1">
        <v>1</v>
      </c>
    </row>
    <row r="11" spans="1:5" ht="12.75">
      <c r="A11" s="5" t="s">
        <v>130</v>
      </c>
      <c r="B11" s="3">
        <f>B10*(1-(1/3.6)*EXP((-B9-42)/92))</f>
        <v>0.99446877324558</v>
      </c>
      <c r="C11" s="3">
        <f>C10*(1-(1/3.6)*EXP((-C9-42)/92))</f>
        <v>0.8754993810139224</v>
      </c>
      <c r="D11" s="3">
        <f>D10*(1-(1/3.6)*EXP((-D9-42)/92))</f>
        <v>0.9944687732455801</v>
      </c>
      <c r="E11" s="3">
        <f>E10*(1-(1/3.6)*EXP((-E9-42)/92))</f>
        <v>0.8754993810139224</v>
      </c>
    </row>
    <row r="12" spans="1:5" ht="12.75">
      <c r="A12" s="5" t="s">
        <v>54</v>
      </c>
      <c r="B12" s="1">
        <v>20</v>
      </c>
      <c r="C12" s="1">
        <v>20</v>
      </c>
      <c r="D12" s="1">
        <v>20</v>
      </c>
      <c r="E12" s="1">
        <v>20</v>
      </c>
    </row>
    <row r="13" spans="1:5" ht="12.75">
      <c r="A13" s="5" t="s">
        <v>227</v>
      </c>
      <c r="B13" s="2">
        <v>0.69</v>
      </c>
      <c r="C13" s="2">
        <v>0.69</v>
      </c>
      <c r="D13" s="2">
        <v>0.69</v>
      </c>
      <c r="E13" s="2">
        <v>0.69</v>
      </c>
    </row>
    <row r="14" spans="1:5" ht="12.75">
      <c r="A14" s="5" t="s">
        <v>55</v>
      </c>
      <c r="B14" s="1">
        <v>1</v>
      </c>
      <c r="C14" s="1">
        <v>1</v>
      </c>
      <c r="D14" s="1">
        <v>1</v>
      </c>
      <c r="E14" s="1">
        <v>1</v>
      </c>
    </row>
    <row r="15" spans="1:5" ht="12.75">
      <c r="A15" s="5" t="s">
        <v>70</v>
      </c>
      <c r="B15" s="3">
        <f>1/(5*B9+1)</f>
        <v>0.0006279239944363732</v>
      </c>
      <c r="C15" s="3">
        <f>1/(5*C9+1)</f>
        <v>0.0062439533909747</v>
      </c>
      <c r="D15" s="3">
        <f>1/(5*D9+1)</f>
        <v>0.0006279239944363717</v>
      </c>
      <c r="E15" s="3">
        <f>1/(5*E9+1)</f>
        <v>0.0062439533909747</v>
      </c>
    </row>
    <row r="16" spans="1:5" ht="12.75">
      <c r="A16" s="5" t="s">
        <v>71</v>
      </c>
      <c r="B16" s="2">
        <f>0.2*B15^4*5*B9+0.1*(1-B15^4)^2*(5*B9)^(1/3)</f>
        <v>1.1675443249898576</v>
      </c>
      <c r="C16" s="2">
        <f>0.2*C15^4*5*C9+0.1*(1-C15^4)^2*(5*C9)^(1/3)</f>
        <v>0.5419261168744008</v>
      </c>
      <c r="D16" s="2">
        <f>0.2*D15^4*5*D9+0.1*(1-D15^4)^2*(5*D9)^(1/3)</f>
        <v>1.1675443249898587</v>
      </c>
      <c r="E16" s="2">
        <f>0.2*E15^4*5*E9+0.1*(1-E15^4)^2*(5*E9)^(1/3)</f>
        <v>0.5419261168744008</v>
      </c>
    </row>
    <row r="17" spans="1:5" ht="12.75">
      <c r="A17" s="5" t="s">
        <v>23</v>
      </c>
      <c r="B17" s="2">
        <f>B12/B7</f>
        <v>0.2</v>
      </c>
      <c r="C17" s="2">
        <f>C12/C7</f>
        <v>0.2</v>
      </c>
      <c r="D17" s="2">
        <f>D12/D7</f>
        <v>0.2</v>
      </c>
      <c r="E17" s="2">
        <f>E12/E7</f>
        <v>0.2</v>
      </c>
    </row>
    <row r="18" spans="1:5" ht="12.75">
      <c r="A18" s="5" t="s">
        <v>58</v>
      </c>
      <c r="B18" s="2">
        <f>0.725*(1/B17)^0.2</f>
        <v>1.0003040045593807</v>
      </c>
      <c r="C18" s="2">
        <f>0.725*(1/C17)^0.2</f>
        <v>1.0003040045593807</v>
      </c>
      <c r="D18" s="2">
        <f>0.725*(1/D17)^0.2</f>
        <v>1.0003040045593807</v>
      </c>
      <c r="E18" s="2">
        <f>0.725*(1/E17)^0.2</f>
        <v>1.0003040045593807</v>
      </c>
    </row>
    <row r="19" spans="1:5" ht="12.75">
      <c r="A19" s="5" t="s">
        <v>57</v>
      </c>
      <c r="B19" s="2">
        <f>0.725*(1/B17)^0.2</f>
        <v>1.0003040045593807</v>
      </c>
      <c r="C19" s="2">
        <f>0.725*(1/C17)^0.2</f>
        <v>1.0003040045593807</v>
      </c>
      <c r="D19" s="2">
        <f>0.725*(1/D17)^0.2</f>
        <v>1.0003040045593807</v>
      </c>
      <c r="E19" s="2">
        <f>0.725*(1/E17)^0.2</f>
        <v>1.0003040045593807</v>
      </c>
    </row>
    <row r="20" spans="1:5" ht="12.75">
      <c r="A20" s="5" t="s">
        <v>123</v>
      </c>
      <c r="B20" s="2">
        <f>1.48+B17^(1/2)</f>
        <v>1.9272135954999579</v>
      </c>
      <c r="C20" s="2">
        <f>1.48+C17^(1/2)</f>
        <v>1.9272135954999579</v>
      </c>
      <c r="D20" s="2">
        <f>1.48+D17^(1/2)</f>
        <v>1.9272135954999579</v>
      </c>
      <c r="E20" s="2">
        <f>1.48+E17^(1/2)</f>
        <v>1.9272135954999579</v>
      </c>
    </row>
    <row r="21" spans="1:5" ht="12.75">
      <c r="A21" s="5" t="s">
        <v>18</v>
      </c>
      <c r="B21" s="2">
        <f>0.7328*(B3)+0.4296*(B4)-0.1624*(B5)</f>
        <v>18.985456000000003</v>
      </c>
      <c r="C21" s="2">
        <f>0.7328*(C3)+0.4296*(C4)-0.1624*(C5)</f>
        <v>55.121840000000006</v>
      </c>
      <c r="D21" s="2">
        <f>0.7328*(D3)+0.4296*(D4)-0.1624*(D5)</f>
        <v>5.057423999999999</v>
      </c>
      <c r="E21" s="2">
        <f>0.7328*(E3)+0.4296*(E4)-0.1624*(E5)</f>
        <v>18.985456000000003</v>
      </c>
    </row>
    <row r="22" spans="1:5" ht="12.75">
      <c r="A22" s="5" t="s">
        <v>19</v>
      </c>
      <c r="B22" s="2">
        <f>-0.7036*(B3)+1.6975*(B4)+0.0061*(B5)</f>
        <v>20.707422</v>
      </c>
      <c r="C22" s="2">
        <f>-0.7036*(C3)+1.6975*(C4)+0.0061*(C5)</f>
        <v>33.141890000000004</v>
      </c>
      <c r="D22" s="2">
        <f>-0.7036*(D3)+1.6975*(D4)+0.0061*(D5)</f>
        <v>8.664946</v>
      </c>
      <c r="E22" s="2">
        <f>-0.7036*(E3)+1.6975*(E4)+0.0061*(E5)</f>
        <v>20.707422</v>
      </c>
    </row>
    <row r="23" spans="1:5" ht="12.75">
      <c r="A23" s="5" t="s">
        <v>20</v>
      </c>
      <c r="B23" s="2">
        <f>0.003*(B3)+0.0136*(B4)+0.9834*(B5)</f>
        <v>21.747482</v>
      </c>
      <c r="C23" s="2">
        <f>0.003*(C3)+0.0136*(C4)+0.9834*(C5)</f>
        <v>32.186260000000004</v>
      </c>
      <c r="D23" s="2">
        <f>0.003*(D3)+0.0136*(D4)+0.9834*(D5)</f>
        <v>2.204282</v>
      </c>
      <c r="E23" s="2">
        <f>0.003*(E3)+0.0136*(E4)+0.9834*(E5)</f>
        <v>21.747482</v>
      </c>
    </row>
    <row r="24" spans="1:5" ht="12.75">
      <c r="A24" s="5" t="s">
        <v>229</v>
      </c>
      <c r="B24" s="2">
        <f>0.7328*(B6)+0.4296*(B7)-0.1624*(B8)</f>
        <v>94.93052800000001</v>
      </c>
      <c r="C24" s="2">
        <f>0.7328*(C6)+0.4296*(C7)-0.1624*(C8)</f>
        <v>94.93052800000001</v>
      </c>
      <c r="D24" s="2">
        <f>0.7328*(D6)+0.4296*(D7)-0.1624*(D8)</f>
        <v>117.67988799999999</v>
      </c>
      <c r="E24" s="2">
        <f>0.7328*(E6)+0.4296*(E7)-0.1624*(E8)</f>
        <v>117.67988799999999</v>
      </c>
    </row>
    <row r="25" spans="1:5" ht="12.75">
      <c r="A25" s="5" t="s">
        <v>230</v>
      </c>
      <c r="B25" s="2">
        <f>-0.7036*(B6)+1.6975*(B7)+0.0061*(B8)</f>
        <v>103.53698800000001</v>
      </c>
      <c r="C25" s="2">
        <f>-0.7036*(C6)+1.6975*(C7)+0.0061*(C8)</f>
        <v>103.53698800000001</v>
      </c>
      <c r="D25" s="2">
        <f>-0.7036*(D6)+1.6975*(D7)+0.0061*(D8)</f>
        <v>92.676578</v>
      </c>
      <c r="E25" s="2">
        <f>-0.7036*(E6)+1.6975*(E7)+0.0061*(E8)</f>
        <v>92.676578</v>
      </c>
    </row>
    <row r="26" spans="1:5" ht="12.75">
      <c r="A26" s="5" t="s">
        <v>231</v>
      </c>
      <c r="B26" s="2">
        <f>0.003*(B6)+0.0136*(B7)+0.9834*(B8)</f>
        <v>108.717742</v>
      </c>
      <c r="C26" s="2">
        <f>0.003*(C6)+0.0136*(C7)+0.9834*(C8)</f>
        <v>108.717742</v>
      </c>
      <c r="D26" s="2">
        <f>0.003*(D6)+0.0136*(D7)+0.9834*(D8)</f>
        <v>36.678922</v>
      </c>
      <c r="E26" s="2">
        <f>0.003*(E6)+0.0136*(E7)+0.9834*(E8)</f>
        <v>36.678922</v>
      </c>
    </row>
    <row r="27" spans="1:5" ht="12.75">
      <c r="A27" s="5" t="s">
        <v>232</v>
      </c>
      <c r="B27" s="2">
        <f>(B11*(B7/B24)+1-B11)*B21</f>
        <v>19.993707822162108</v>
      </c>
      <c r="C27" s="2">
        <f>(C11*(C7/C24)+1-C11)*C21</f>
        <v>57.69897032791239</v>
      </c>
      <c r="D27" s="2">
        <f>(D11*(D7/D24)+1-D11)*D21</f>
        <v>4.301813857308816</v>
      </c>
      <c r="E27" s="2">
        <f>(E11*(E7/E24)+1-E11)*E21</f>
        <v>16.488251326047184</v>
      </c>
    </row>
    <row r="28" spans="1:5" ht="12.75">
      <c r="A28" s="5" t="s">
        <v>233</v>
      </c>
      <c r="B28" s="2">
        <f>(B11*(B7/B25)+1-B11)*B22</f>
        <v>20.00393634759888</v>
      </c>
      <c r="C28" s="2">
        <f>(C11*(C7/C25)+1-C11)*C22</f>
        <v>32.150667447742215</v>
      </c>
      <c r="D28" s="2">
        <f>(D11*(D7/D25)+1-D11)*D22</f>
        <v>9.345873826212943</v>
      </c>
      <c r="E28" s="2">
        <f>(E11*(E7/E25)+1-E11)*E22</f>
        <v>22.140025303873664</v>
      </c>
    </row>
    <row r="29" spans="1:5" ht="12.75">
      <c r="A29" s="5" t="s">
        <v>234</v>
      </c>
      <c r="B29" s="2">
        <f>(B11*(B7/B26)+1-B11)*B23</f>
        <v>20.01326388292653</v>
      </c>
      <c r="C29" s="2">
        <f>(C11*(C7/C26)+1-C11)*C23</f>
        <v>29.926668425058363</v>
      </c>
      <c r="D29" s="2">
        <f>(D11*(D7/D26)+1-D11)*D23</f>
        <v>5.988621070400816</v>
      </c>
      <c r="E29" s="2">
        <f>(E11*(E7/E26)+1-E11)*E23</f>
        <v>54.617244043027696</v>
      </c>
    </row>
    <row r="30" spans="1:5" ht="12.75">
      <c r="A30" s="5" t="s">
        <v>235</v>
      </c>
      <c r="B30" s="2">
        <f>(B11*(B7/B24)+1-B11)*B24</f>
        <v>99.97195960084281</v>
      </c>
      <c r="C30" s="2">
        <f>(C11*(C7/C24)+1-C11)*C24</f>
        <v>99.36884759806742</v>
      </c>
      <c r="D30" s="2">
        <f>(D11*(D7/D24)+1-D11)*D24</f>
        <v>100.09779146952074</v>
      </c>
      <c r="E30" s="2">
        <f>(E11*(E7/E24)+1-E11)*E24</f>
        <v>102.20115699960452</v>
      </c>
    </row>
    <row r="31" spans="1:5" ht="12.75">
      <c r="A31" s="5" t="s">
        <v>236</v>
      </c>
      <c r="B31" s="2">
        <f>(B11*(B7/B25)+1-B11)*B25</f>
        <v>100.01956388265566</v>
      </c>
      <c r="C31" s="2">
        <f>(C11*(C7/C25)+1-C11)*C25</f>
        <v>100.44035719534631</v>
      </c>
      <c r="D31" s="2">
        <f>(D11*(D7/D25)+1-D11)*D25</f>
        <v>99.9594924922997</v>
      </c>
      <c r="E31" s="2">
        <f>(E11*(E7/E25)+1-E11)*E25</f>
        <v>99.08822942790374</v>
      </c>
    </row>
    <row r="32" spans="1:5" ht="12.75">
      <c r="A32" s="5" t="s">
        <v>237</v>
      </c>
      <c r="B32" s="2">
        <f>(B11*(B7/B26)+1-B11)*B26</f>
        <v>100.04821980778853</v>
      </c>
      <c r="C32" s="2">
        <f>(C11*(C7/C26)+1-C11)*C26</f>
        <v>101.08536427516093</v>
      </c>
      <c r="D32" s="2">
        <f>(D11*(D7/D26)+1-D11)*D26</f>
        <v>99.6497567592477</v>
      </c>
      <c r="E32" s="2">
        <f>(E11*(E7/E26)+1-E11)*E26</f>
        <v>92.11648659413432</v>
      </c>
    </row>
    <row r="33" spans="1:5" ht="12.75">
      <c r="A33" s="5" t="s">
        <v>238</v>
      </c>
      <c r="B33" s="1">
        <f>1.096124*B27-0.278869*B28+0.182745*B29</f>
        <v>19.994429175826475</v>
      </c>
      <c r="C33" s="1">
        <f>1.096124*C27-0.278869*C28+0.182745*C29</f>
        <v>59.748350692565516</v>
      </c>
      <c r="D33" s="1">
        <f>1.096124*D27-0.278869*D28+0.182745*D29</f>
        <v>3.203437481996989</v>
      </c>
      <c r="E33" s="1">
        <f>1.096124*E27-0.278869*E28+0.182745*E29</f>
        <v>21.880029542689293</v>
      </c>
    </row>
    <row r="34" spans="1:5" ht="12.75">
      <c r="A34" s="5" t="s">
        <v>239</v>
      </c>
      <c r="B34" s="1">
        <f>0.454369*B27+0.473533*B28+0.072098*B29</f>
        <v>19.99996131936675</v>
      </c>
      <c r="C34" s="1">
        <f>0.454369*C27+0.473533*C28+0.072098*C29</f>
        <v>43.5986783975648</v>
      </c>
      <c r="D34" s="1">
        <f>0.454369*D27+0.473533*D28+0.072098*D29</f>
        <v>6.811958133013401</v>
      </c>
      <c r="E34" s="1">
        <f>0.454369*E27+0.473533*E28+0.072098*E29</f>
        <v>21.91357692999815</v>
      </c>
    </row>
    <row r="35" spans="1:5" ht="12.75">
      <c r="A35" s="5" t="s">
        <v>240</v>
      </c>
      <c r="B35" s="1">
        <f>-0.009628*B27-0.005698*B28+1.015326*B29</f>
        <v>20.013505316975866</v>
      </c>
      <c r="C35" s="1">
        <f>-0.009628*C27-0.005698*C28+1.015326*C29</f>
        <v>29.64660435590643</v>
      </c>
      <c r="D35" s="1">
        <f>-0.009628*D27-0.005698*D28+1.015326*D29</f>
        <v>5.9857320240458485</v>
      </c>
      <c r="E35" s="1">
        <f>-0.009628*E27-0.005698*E28+1.015326*E29</f>
        <v>55.16940517728248</v>
      </c>
    </row>
    <row r="36" spans="1:5" ht="12.75">
      <c r="A36" s="5" t="s">
        <v>241</v>
      </c>
      <c r="B36" s="1">
        <f>1.096124*B30-0.278869*B31+0.182745*B32</f>
        <v>99.97262041389624</v>
      </c>
      <c r="C36" s="1">
        <f>1.096124*C30-0.278869*C31+0.182745*C32</f>
        <v>99.38372162833932</v>
      </c>
      <c r="D36" s="1">
        <f>1.096124*D30-0.278869*D31+0.182745*D32</f>
        <v>100.05448266387054</v>
      </c>
      <c r="E36" s="1">
        <f>1.096124*E30-0.278869*E31+0.182745*E32</f>
        <v>101.22633290534951</v>
      </c>
    </row>
    <row r="37" spans="1:5" ht="12.75">
      <c r="A37" s="5" t="s">
        <v>242</v>
      </c>
      <c r="B37" s="1">
        <f>0.454369*B30+0.473533*B31+0.072098*B32</f>
        <v>100.00000000762287</v>
      </c>
      <c r="C37" s="1">
        <f>0.454369*C30+0.473533*C31+0.072098*C32</f>
        <v>100.00000017158077</v>
      </c>
      <c r="D37" s="1">
        <f>0.454369*D30+0.473533*D31+0.072098*D32</f>
        <v>99.99999993339907</v>
      </c>
      <c r="E37" s="1">
        <f>0.454369*E30+0.473533*E31+0.072098*E32</f>
        <v>99.99999850090074</v>
      </c>
    </row>
    <row r="38" spans="1:5" ht="12.75">
      <c r="A38" s="5" t="s">
        <v>243</v>
      </c>
      <c r="B38" s="1">
        <f>-0.009628*B30-0.005698*B31+1.015326*B32</f>
        <v>100.0491173225224</v>
      </c>
      <c r="C38" s="1">
        <f>-0.009628*C30-0.005698*C31+1.015326*C32</f>
        <v>101.10556614806876</v>
      </c>
      <c r="D38" s="1">
        <f>-0.009628*D30-0.005698*D31+1.015326*D32</f>
        <v>99.64367820685025</v>
      </c>
      <c r="E38" s="1">
        <f>-0.009628*E30-0.005698*E31+1.015326*E32</f>
        <v>91.97966639680362</v>
      </c>
    </row>
    <row r="39" spans="1:5" ht="12.75">
      <c r="A39" s="5" t="s">
        <v>244</v>
      </c>
      <c r="B39" s="1">
        <f>0.38971*B33+0.68898*B34-0.07868*B35</f>
        <v>19.99693974558898</v>
      </c>
      <c r="C39" s="1">
        <f>0.38971*C33+0.68898*C34-0.07868*C35</f>
        <v>50.99055236003118</v>
      </c>
      <c r="D39" s="1">
        <f>0.38971*D33+0.68898*D34-0.07868*D35</f>
        <v>5.470757139940693</v>
      </c>
      <c r="E39" s="1">
        <f>0.38971*E33+0.68898*E34-0.07868*E35</f>
        <v>19.284153746962986</v>
      </c>
    </row>
    <row r="40" spans="1:5" ht="12.75">
      <c r="A40" s="5" t="s">
        <v>245</v>
      </c>
      <c r="B40" s="1">
        <f>-0.22981*B33+1.1834*B34+0.04641*B35</f>
        <v>20.001861238202782</v>
      </c>
      <c r="C40" s="1">
        <f>-0.22981*C33+1.1834*C34+0.04641*C35</f>
        <v>39.239806451177316</v>
      </c>
      <c r="D40" s="1">
        <f>-0.22981*D33+1.1834*D34+0.04641*D35</f>
        <v>7.602887110106298</v>
      </c>
      <c r="E40" s="1">
        <f>-0.22981*E33+1.1834*E34+0.04641*E35</f>
        <v>23.464689444032064</v>
      </c>
    </row>
    <row r="41" spans="1:5" ht="12.75">
      <c r="A41" s="5" t="s">
        <v>246</v>
      </c>
      <c r="B41" s="1">
        <f>B35</f>
        <v>20.013505316975866</v>
      </c>
      <c r="C41" s="1">
        <f>C35</f>
        <v>29.64660435590643</v>
      </c>
      <c r="D41" s="1">
        <f>D35</f>
        <v>5.9857320240458485</v>
      </c>
      <c r="E41" s="1">
        <f>E35</f>
        <v>55.16940517728248</v>
      </c>
    </row>
    <row r="42" spans="1:5" ht="12.75">
      <c r="A42" s="5" t="s">
        <v>247</v>
      </c>
      <c r="B42" s="1">
        <f>0.38971*B36+0.68898*B37-0.07868*B38</f>
        <v>99.98646535581545</v>
      </c>
      <c r="C42" s="1">
        <f>0.38971*C36+0.68898*C37-0.07868*C38</f>
        <v>99.67384432946578</v>
      </c>
      <c r="D42" s="1">
        <f>0.38971*D36+0.68898*D37-0.07868*D38</f>
        <v>100.0502677917353</v>
      </c>
      <c r="E42" s="1">
        <f>0.38971*E36+0.68898*E37-0.07868*E38</f>
        <v>101.10995301159384</v>
      </c>
    </row>
    <row r="43" spans="1:5" ht="12.75">
      <c r="A43" s="5" t="s">
        <v>248</v>
      </c>
      <c r="B43" s="1">
        <f>-0.22981*B36+1.1834*B37+0.04641*B38</f>
        <v>100.00857164664167</v>
      </c>
      <c r="C43" s="1">
        <f>-0.22981*C36+1.1834*C37+0.04641*C38</f>
        <v>100.19293646057189</v>
      </c>
      <c r="D43" s="1">
        <f>-0.22981*D36+1.1834*D37+0.04641*D38</f>
        <v>99.97094236578029</v>
      </c>
      <c r="E43" s="1">
        <f>-0.22981*E36+1.1834*E37+0.04641*E38</f>
        <v>99.34595097846322</v>
      </c>
    </row>
    <row r="44" spans="1:5" ht="12.75">
      <c r="A44" s="5" t="s">
        <v>249</v>
      </c>
      <c r="B44" s="1">
        <f>B38</f>
        <v>100.0491173225224</v>
      </c>
      <c r="C44" s="1">
        <f>C38</f>
        <v>101.10556614806876</v>
      </c>
      <c r="D44" s="1">
        <f>D38</f>
        <v>99.64367820685025</v>
      </c>
      <c r="E44" s="1">
        <f>E38</f>
        <v>91.97966639680362</v>
      </c>
    </row>
    <row r="45" spans="1:5" ht="12.75">
      <c r="A45" s="5" t="s">
        <v>250</v>
      </c>
      <c r="B45" s="1">
        <f>((400*(B16*B39/100)^0.42)/(((B16*B39/100)^0.42)+27.13))+0.1</f>
        <v>7.946319809968971</v>
      </c>
      <c r="C45" s="1">
        <f>((400*(C16*C39/100)^0.42)/(((C16*C39/100)^0.42)+27.13))+0.1</f>
        <v>8.509740631286439</v>
      </c>
      <c r="D45" s="1">
        <f>((400*(D16*D39/100)^0.42)/(((D16*D39/100)^0.42)+27.13))+0.1</f>
        <v>4.690208023447482</v>
      </c>
      <c r="E45" s="1">
        <f>((400*(E16*E39/100)^0.42)/(((E16*E39/100)^0.42)+27.13))+0.1</f>
        <v>5.729805242839768</v>
      </c>
    </row>
    <row r="46" spans="1:5" ht="12.75">
      <c r="A46" s="5" t="s">
        <v>251</v>
      </c>
      <c r="B46" s="1">
        <f>((400*(B16*B40/100)^0.42)/(((B16*B40/100)^0.42)+27.13))+0.1</f>
        <v>7.947114893989363</v>
      </c>
      <c r="C46" s="1">
        <f>((400*(C16*C40/100)^0.42)/(((C16*C40/100)^0.42)+27.13))+0.1</f>
        <v>7.650131368528395</v>
      </c>
      <c r="D46" s="1">
        <f>((400*(D16*D40/100)^0.42)/(((D16*D40/100)^0.42)+27.13))+0.1</f>
        <v>5.361690386509132</v>
      </c>
      <c r="E46" s="1">
        <f>((400*(E16*E40/100)^0.42)/(((E16*E40/100)^0.42)+27.13))+0.1</f>
        <v>6.206025286239326</v>
      </c>
    </row>
    <row r="47" spans="1:5" ht="12.75">
      <c r="A47" s="5" t="s">
        <v>252</v>
      </c>
      <c r="B47" s="1">
        <f>((400*(B16*B41/100)^0.42)/(((B16*B41/100)^0.42)+27.13))+0.1</f>
        <v>7.948995570343364</v>
      </c>
      <c r="C47" s="1">
        <f>((400*(C16*C41/100)^0.42)/(((C16*C41/100)^0.42)+27.13))+0.1</f>
        <v>6.825587291426667</v>
      </c>
      <c r="D47" s="1">
        <f>((400*(D16*D41/100)^0.42)/(((D16*D41/100)^0.42)+27.13))+0.1</f>
        <v>4.864856569951588</v>
      </c>
      <c r="E47" s="1">
        <f>((400*(E16*E41/100)^0.42)/(((E16*E41/100)^0.42)+27.13))+0.1</f>
        <v>8.786467401742888</v>
      </c>
    </row>
    <row r="48" spans="1:5" ht="12.75">
      <c r="A48" s="5" t="s">
        <v>253</v>
      </c>
      <c r="B48" s="1">
        <f>((400*(B16*B42/100)^0.42)/(((B16*B42/100)^0.42)+27.13))+0.1</f>
        <v>15.238565679443369</v>
      </c>
      <c r="C48" s="1">
        <f>((400*(C16*C42/100)^0.42)/(((C16*C42/100)^0.42)+27.13))+0.1</f>
        <v>11.168338858641023</v>
      </c>
      <c r="D48" s="1">
        <f>((400*(D16*D42/100)^0.42)/(((D16*D42/100)^0.42)+27.13))+0.1</f>
        <v>15.242468600032122</v>
      </c>
      <c r="E48" s="1">
        <f>((400*(E16*E42/100)^0.42)/(((E16*E42/100)^0.42)+27.13))+0.1</f>
        <v>11.233183485656019</v>
      </c>
    </row>
    <row r="49" spans="1:5" ht="12.75">
      <c r="A49" s="5" t="s">
        <v>254</v>
      </c>
      <c r="B49" s="1">
        <f>((400*(B16*B43/100)^0.42)/(((B16*B43/100)^0.42)+27.13))+0.1</f>
        <v>15.239918137223313</v>
      </c>
      <c r="C49" s="1">
        <f>((400*(C16*C43/100)^0.42)/(((C16*C43/100)^0.42)+27.13))+0.1</f>
        <v>11.191842081762749</v>
      </c>
      <c r="D49" s="1">
        <f>((400*(D16*D43/100)^0.42)/(((D16*D43/100)^0.42)+27.13))+0.1</f>
        <v>15.23761587715519</v>
      </c>
      <c r="E49" s="1">
        <f>((400*(E16*E43/100)^0.42)/(((E16*E43/100)^0.42)+27.13))+0.1</f>
        <v>11.153454576130596</v>
      </c>
    </row>
    <row r="50" spans="1:5" ht="12.75">
      <c r="A50" s="5" t="s">
        <v>255</v>
      </c>
      <c r="B50" s="1">
        <f>((400*(B16*B44/100)^0.42)/(((B16*B44/100)^0.42)+27.13))+0.1</f>
        <v>15.242398237048908</v>
      </c>
      <c r="C50" s="1">
        <f>((400*(C16*C44/100)^0.42)/(((C16*C44/100)^0.42)+27.13))+0.1</f>
        <v>11.23298625453168</v>
      </c>
      <c r="D50" s="1">
        <f>((400*(D16*D44/100)^0.42)/(((D16*D44/100)^0.42)+27.13))+0.1</f>
        <v>15.217570587593263</v>
      </c>
      <c r="E50" s="1">
        <f>((400*(E16*E44/100)^0.42)/(((E16*E44/100)^0.42)+27.13))+0.1</f>
        <v>10.810945320171287</v>
      </c>
    </row>
    <row r="51" spans="1:5" ht="12.75">
      <c r="A51" s="5" t="s">
        <v>256</v>
      </c>
      <c r="B51" s="2">
        <f>B45-12*B46/11+B47/11</f>
        <v>-0.0006241134427554806</v>
      </c>
      <c r="C51" s="2">
        <f>C45-12*C46/11+C47/11</f>
        <v>0.7846507102942506</v>
      </c>
      <c r="D51" s="2">
        <f>D45-12*D46/11+D47/11</f>
        <v>-0.7166490736577897</v>
      </c>
      <c r="E51" s="2">
        <f>E45-12*E46/11+E47/11</f>
        <v>-0.24163439653559837</v>
      </c>
    </row>
    <row r="52" spans="1:5" ht="12.75">
      <c r="A52" s="5" t="s">
        <v>257</v>
      </c>
      <c r="B52" s="2">
        <f>(1/9)*(B45+B46-2*B47)</f>
        <v>-0.0005062707475992233</v>
      </c>
      <c r="C52" s="2">
        <f>(1/9)*(C45+C46-2*C47)</f>
        <v>0.2787441574401664</v>
      </c>
      <c r="D52" s="2">
        <f>(1/9)*(D45+D46-2*D47)</f>
        <v>0.03579836333927094</v>
      </c>
      <c r="E52" s="2">
        <f>(1/9)*(E45+E46-2*E47)</f>
        <v>-0.6263449193785201</v>
      </c>
    </row>
    <row r="53" spans="1:5" ht="12.75">
      <c r="A53" s="5" t="s">
        <v>258</v>
      </c>
      <c r="B53" s="1">
        <f>IF(B52&gt;=0,(360/(2*PI()))*ATAN2(B51,B52),360+(360/(2*PI()))*ATAN2(B51,B52))</f>
        <v>219.04840640448796</v>
      </c>
      <c r="C53" s="1">
        <f>IF(C52&gt;=0,(360/(2*PI()))*ATAN2(C51,C52),360+(360/(2*PI()))*ATAN2(C51,C52))</f>
        <v>19.557387135690405</v>
      </c>
      <c r="D53" s="1">
        <f>IF(D52&gt;=0,(360/(2*PI()))*ATAN2(D51,D52),360+(360/(2*PI()))*ATAN2(D51,D52))</f>
        <v>177.14031349159742</v>
      </c>
      <c r="E53" s="1">
        <f>IF(E52&gt;=0,(360/(2*PI()))*ATAN2(E51,E52),360+(360/(2*PI()))*ATAN2(E51,E52))</f>
        <v>248.90413989160584</v>
      </c>
    </row>
    <row r="54" spans="1:5" ht="12.75">
      <c r="A54" s="5" t="s">
        <v>32</v>
      </c>
      <c r="B54" s="1">
        <f>IF(B53&lt;20.14,385.9+(14.1*(B53)/0.856)/((B53)/0.856+(20.14-B53)/0.8),IF(B53&lt;90,(100*(B53-20.14)/0.8)/((B53-20.14)/0.8+(90-B53)/0.7),IF(B53&lt;164.25,100+(100*(B53-90)/0.7)/((B53-90)/0.7+(164.25-B53)/1),IF(B53&lt;237.53,200+(100*(B53-164.25)/1)/((B53-164.25)/1+(237.53-B53)/1.2),300+(85.9*(B53-237.53)/1.2)/((B53-237.53)/1.2+(360-B53)/0.856)))))</f>
        <v>278.06070332355</v>
      </c>
      <c r="C54" s="1">
        <f>IF(C53&lt;20.14,385.9+(14.1*(C53)/0.856)/((C53)/0.856+(20.14-C53)/0.8),IF(C53&lt;90,(100*(C53-20.14)/0.8)/((C53-20.14)/0.8+(90-C53)/0.7),IF(C53&lt;164.25,100+(100*(C53-90)/0.7)/((C53-90)/0.7+(164.25-C53)/1),IF(C53&lt;237.53,200+(100*(C53-164.25)/1)/((C53-164.25)/1+(237.53-C53)/1.2),300+(85.9*(C53-237.53)/1.2)/((C53-237.53)/1.2+(360-C53)/0.856)))))</f>
        <v>399.56444304826147</v>
      </c>
      <c r="D54" s="1">
        <f>IF(D53&lt;20.14,385.9+(14.1*(D53)/0.856)/((D53)/0.856+(20.14-D53)/0.8),IF(D53&lt;90,(100*(D53-20.14)/0.8)/((D53-20.14)/0.8+(90-D53)/0.7),IF(D53&lt;164.25,100+(100*(D53-90)/0.7)/((D53-90)/0.7+(164.25-D53)/1),IF(D53&lt;237.53,200+(100*(D53-164.25)/1)/((D53-164.25)/1+(237.53-D53)/1.2),300+(85.9*(D53-237.53)/1.2)/((D53-237.53)/1.2+(360-D53)/0.856)))))</f>
        <v>220.3912091077691</v>
      </c>
      <c r="E54" s="1">
        <f>IF(E53&lt;20.14,385.9+(14.1*(E53)/0.856)/((E53)/0.856+(20.14-E53)/0.8),IF(E53&lt;90,(100*(E53-20.14)/0.8)/((E53-20.14)/0.8+(90-E53)/0.7),IF(E53&lt;164.25,100+(100*(E53-90)/0.7)/((E53-90)/0.7+(164.25-E53)/1),IF(E53&lt;237.53,200+(100*(E53-164.25)/1)/((E53-164.25)/1+(237.53-E53)/1.2),300+(85.9*(E53-237.53)/1.2)/((E53-237.53)/1.2+(360-E53)/0.856)))))</f>
        <v>305.8464696230586</v>
      </c>
    </row>
    <row r="55" spans="1:5" ht="12.75">
      <c r="A55" s="5" t="s">
        <v>33</v>
      </c>
      <c r="B55" s="9">
        <f>IF(B54&gt;300,B54-300,IF(B54&lt;100,100-B54,0))</f>
        <v>0</v>
      </c>
      <c r="C55" s="9">
        <f>IF(C54&gt;300,C54-300,IF(C54&lt;100,100-C54,0))</f>
        <v>99.56444304826147</v>
      </c>
      <c r="D55" s="9">
        <f>IF(D54&gt;300,D54-300,IF(D54&lt;100,100-D54,0))</f>
        <v>0</v>
      </c>
      <c r="E55" s="9">
        <f>IF(E54&gt;300,E54-300,IF(E54&lt;100,100-E54,0))</f>
        <v>5.846469623058624</v>
      </c>
    </row>
    <row r="56" spans="1:5" ht="12.75">
      <c r="A56" s="5" t="s">
        <v>34</v>
      </c>
      <c r="B56" s="9">
        <f>IF(B54&lt;=100,B54,IF(B54&lt;200,200-B54,0))</f>
        <v>0</v>
      </c>
      <c r="C56" s="9">
        <f>IF(C54&lt;=100,C54,IF(C54&lt;200,200-C54,0))</f>
        <v>0</v>
      </c>
      <c r="D56" s="9">
        <f>IF(D54&lt;=100,D54,IF(D54&lt;200,200-D54,0))</f>
        <v>0</v>
      </c>
      <c r="E56" s="9">
        <f>IF(E54&lt;=100,E54,IF(E54&lt;200,200-E54,0))</f>
        <v>0</v>
      </c>
    </row>
    <row r="57" spans="1:5" ht="12.75">
      <c r="A57" s="5" t="s">
        <v>35</v>
      </c>
      <c r="B57" s="9">
        <f>IF(B54&gt;100,IF(B54&lt;=200,B54-100,IF(B54&lt;300,300-B54,0)),0)</f>
        <v>21.93929667645</v>
      </c>
      <c r="C57" s="9">
        <f>IF(C54&gt;100,IF(C54&lt;=200,C54-100,IF(C54&lt;300,300-C54,0)),0)</f>
        <v>0</v>
      </c>
      <c r="D57" s="9">
        <f>IF(D54&gt;100,IF(D54&lt;=200,D54-100,IF(D54&lt;300,300-D54,0)),0)</f>
        <v>79.6087908922309</v>
      </c>
      <c r="E57" s="9">
        <f>IF(E54&gt;100,IF(E54&lt;=200,E54-100,IF(E54&lt;300,300-E54,0)),0)</f>
        <v>0</v>
      </c>
    </row>
    <row r="58" spans="1:5" ht="12.75">
      <c r="A58" s="5" t="s">
        <v>36</v>
      </c>
      <c r="B58" s="9">
        <f>IF(B54&gt;300,400-B54,IF(B54&gt;200,B54-200,0))</f>
        <v>78.06070332355</v>
      </c>
      <c r="C58" s="9">
        <f>IF(C54&gt;300,400-C54,IF(C54&gt;200,C54-200,0))</f>
        <v>0.43555695173853337</v>
      </c>
      <c r="D58" s="9">
        <f>IF(D54&gt;300,400-D54,IF(D54&gt;200,D54-200,0))</f>
        <v>20.3912091077691</v>
      </c>
      <c r="E58" s="9">
        <f>IF(E54&gt;300,400-E54,IF(E54&gt;200,E54-200,0))</f>
        <v>94.15353037694138</v>
      </c>
    </row>
    <row r="59" spans="1:5" ht="12.75">
      <c r="A59" s="5" t="s">
        <v>259</v>
      </c>
      <c r="B59" s="2">
        <f>((12500/13)*B14*B19)*(COS((B53*PI()/180)+2)+3.8)</f>
        <v>4516.778173038155</v>
      </c>
      <c r="C59" s="2">
        <f>((12500/13)*C14*C19)*(COS((C53*PI()/180)+2)+3.8)</f>
        <v>2985.016781437757</v>
      </c>
      <c r="D59" s="2">
        <f>((12500/13)*D14*D19)*(COS((D53*PI()/180)+2)+3.8)</f>
        <v>4011.0878244135943</v>
      </c>
      <c r="E59" s="2">
        <f>((12500/13)*E14*E19)*(COS((E53*PI()/180)+2)+3.8)</f>
        <v>4614.998110242003</v>
      </c>
    </row>
    <row r="60" spans="1:5" ht="12.75">
      <c r="A60" s="5" t="s">
        <v>117</v>
      </c>
      <c r="B60" s="2">
        <f>(2*B45+B46+(1/20)*B47-0.305)*B18</f>
        <v>23.939479791665406</v>
      </c>
      <c r="C60" s="2">
        <f>(2*C45+C46+(1/20)*C47-0.305)*C18</f>
        <v>24.71340269948286</v>
      </c>
      <c r="D60" s="2">
        <f>(2*D45+D46+(1/20)*D47-0.305)*D18</f>
        <v>14.684812155010595</v>
      </c>
      <c r="E60" s="2">
        <f>(2*E45+E46+(1/20)*E47-0.305)*E18</f>
        <v>17.80537041074197</v>
      </c>
    </row>
    <row r="61" spans="1:5" ht="12.75">
      <c r="A61" s="5" t="s">
        <v>260</v>
      </c>
      <c r="B61" s="2">
        <f>(2*B48+B49+(1/20)*B50-0.305)*B18</f>
        <v>46.18820656598813</v>
      </c>
      <c r="C61" s="2">
        <f>(2*C48+C49+(1/20)*C50-0.305)*C18</f>
        <v>33.79543995722081</v>
      </c>
      <c r="D61" s="2">
        <f>(2*D48+D49+(1/20)*D50-0.305)*D18</f>
        <v>46.19247006035255</v>
      </c>
      <c r="E61" s="2">
        <f>(2*E48+E49+(1/20)*E50-0.305)*E18</f>
        <v>33.86566099993001</v>
      </c>
    </row>
    <row r="62" spans="1:5" ht="12.75">
      <c r="A62" s="5" t="s">
        <v>124</v>
      </c>
      <c r="B62" s="2">
        <f>100*(B60/B61)^(B13*B20)</f>
        <v>41.731091082363626</v>
      </c>
      <c r="C62" s="2">
        <f>100*(C60/C61)^(C13*C20)</f>
        <v>65.95523418053597</v>
      </c>
      <c r="D62" s="2">
        <f>100*(D60/D61)^(D13*D20)</f>
        <v>21.78542750877604</v>
      </c>
      <c r="E62" s="2">
        <f>100*(E60/E61)^(E13*E20)</f>
        <v>42.53190095403029</v>
      </c>
    </row>
    <row r="63" spans="1:5" ht="12.75">
      <c r="A63" s="5" t="s">
        <v>24</v>
      </c>
      <c r="B63" s="2">
        <f>(4/B13)*((B62/100)^0.5)*(B61+4)*(B16^0.25)</f>
        <v>195.3713113643623</v>
      </c>
      <c r="C63" s="2">
        <f>(4/C13)*((C62/100)^0.5)*(C61+4)*(C16^0.25)</f>
        <v>152.67219844177333</v>
      </c>
      <c r="D63" s="2">
        <f>(4/D13)*((D62/100)^0.5)*(D61+4)*(D16^0.25)</f>
        <v>141.17274420899767</v>
      </c>
      <c r="E63" s="2">
        <f>(4/E13)*((E62/100)^0.5)*(E61+4)*(E16^0.25)</f>
        <v>122.8284185755903</v>
      </c>
    </row>
    <row r="64" spans="1:5" ht="12.75">
      <c r="A64" s="5" t="s">
        <v>25</v>
      </c>
      <c r="B64" s="2">
        <f>(B59*(B51^2+B52^2)^0.5)/(B45+B46+(21/20)*B47)</f>
        <v>0.1497464778009679</v>
      </c>
      <c r="C64" s="2">
        <f>(C59*(C51^2+C52^2)^0.5)/(C45+C46+(21/20)*C47)</f>
        <v>106.55574161367204</v>
      </c>
      <c r="D64" s="2">
        <f>(D59*(D51^2+D52^2)^0.5)/(D45+D46+(21/20)*D47)</f>
        <v>189.8500593427636</v>
      </c>
      <c r="E64" s="2">
        <f>(E59*(E51^2+E52^2)^0.5)/(E45+E46+(21/20)*E47)</f>
        <v>146.40773658668027</v>
      </c>
    </row>
    <row r="65" spans="1:5" s="12" customFormat="1" ht="12.75">
      <c r="A65" s="5" t="s">
        <v>108</v>
      </c>
      <c r="B65" s="11">
        <f>100*(B67/B63)^0.5</f>
        <v>2.360307375947052</v>
      </c>
      <c r="C65" s="11">
        <f>100*(C67/C63)^0.5</f>
        <v>52.24549008322954</v>
      </c>
      <c r="D65" s="11">
        <f>100*(D67/D63)^0.5</f>
        <v>58.79284443779468</v>
      </c>
      <c r="E65" s="11">
        <f>100*(E67/E63)^0.5</f>
        <v>60.21989105240133</v>
      </c>
    </row>
    <row r="66" spans="1:5" ht="12.75">
      <c r="A66" s="5" t="s">
        <v>43</v>
      </c>
      <c r="B66" s="2">
        <f>(B64^0.9)*((B62/100)^0.5)*((1.64-0.29^B17)^0.73)</f>
        <v>0.10470793009309645</v>
      </c>
      <c r="C66" s="2">
        <f>(C64^0.9)*((C62/100)^0.5)*((1.64-0.29^C17)^0.73)</f>
        <v>48.57049771283034</v>
      </c>
      <c r="D66" s="2">
        <f>(D64^0.9)*((D62/100)^0.5)*((1.64-0.29^D17)^0.73)</f>
        <v>46.944147519170485</v>
      </c>
      <c r="E66" s="2">
        <f>(E64^0.9)*((E62/100)^0.5)*((1.64-0.29^E17)^0.73)</f>
        <v>51.915109086945535</v>
      </c>
    </row>
    <row r="67" spans="1:5" ht="12.75">
      <c r="A67" s="5" t="s">
        <v>46</v>
      </c>
      <c r="B67" s="2">
        <f>B66*B16^0.25</f>
        <v>0.10884235217591955</v>
      </c>
      <c r="C67" s="2">
        <f>C66*C16^0.25</f>
        <v>41.67326945477969</v>
      </c>
      <c r="D67" s="2">
        <f>D66*D16^0.25</f>
        <v>48.79775039327945</v>
      </c>
      <c r="E67" s="2">
        <f>E66*E16^0.25</f>
        <v>44.54293103080684</v>
      </c>
    </row>
    <row r="69" spans="1:5" ht="12.75">
      <c r="A69" s="5" t="s">
        <v>115</v>
      </c>
      <c r="B69" s="2">
        <f>B66*COS(PI()*B$53/180)</f>
        <v>-0.0813176446431978</v>
      </c>
      <c r="C69" s="2">
        <f>C66*COS(PI()*C$53/180)</f>
        <v>45.76830440785021</v>
      </c>
      <c r="D69" s="2">
        <f>D66*COS(PI()*D$53/180)</f>
        <v>-46.88568831599605</v>
      </c>
      <c r="E69" s="2">
        <f>E66*COS(PI()*E$53/180)</f>
        <v>-18.685773901899047</v>
      </c>
    </row>
    <row r="70" spans="1:5" ht="12.75">
      <c r="A70" s="5" t="s">
        <v>116</v>
      </c>
      <c r="B70" s="2">
        <f>B66*SIN(PI()*B$53/180)</f>
        <v>-0.06596356035011587</v>
      </c>
      <c r="C70" s="2">
        <f>C66*SIN(PI()*C$53/180)</f>
        <v>16.259014721145203</v>
      </c>
      <c r="D70" s="2">
        <f>D66*SIN(PI()*D$53/180)</f>
        <v>2.3420541063160614</v>
      </c>
      <c r="E70" s="2">
        <f>E66*SIN(PI()*E$53/180)</f>
        <v>-48.43573479567088</v>
      </c>
    </row>
    <row r="71" spans="1:5" ht="12.75">
      <c r="A71" s="5" t="s">
        <v>142</v>
      </c>
      <c r="B71" s="2">
        <f>B67*COS(PI()*B$53/180)</f>
        <v>-0.08452849472338828</v>
      </c>
      <c r="C71" s="2">
        <f>C67*COS(PI()*C$53/180)</f>
        <v>39.26900015218268</v>
      </c>
      <c r="D71" s="2">
        <f>D67*COS(PI()*D$53/180)</f>
        <v>-48.73698291201821</v>
      </c>
      <c r="E71" s="2">
        <f>E67*COS(PI()*E$53/180)</f>
        <v>-16.03231030056398</v>
      </c>
    </row>
    <row r="72" spans="1:5" ht="12.75">
      <c r="A72" s="5" t="s">
        <v>150</v>
      </c>
      <c r="B72" s="2">
        <f>B67*SIN(PI()*B$53/180)</f>
        <v>-0.06856815009160608</v>
      </c>
      <c r="C72" s="2">
        <f>C67*SIN(PI()*C$53/180)</f>
        <v>13.950161794708734</v>
      </c>
      <c r="D72" s="2">
        <f>D67*SIN(PI()*D$53/180)</f>
        <v>2.4345307717196314</v>
      </c>
      <c r="E72" s="2">
        <f>E67*SIN(PI()*E$53/180)</f>
        <v>-41.55764347555868</v>
      </c>
    </row>
    <row r="73" spans="1:5" ht="12.75">
      <c r="A73" s="5" t="s">
        <v>151</v>
      </c>
      <c r="B73" s="2">
        <f>B65*COS(PI()*B$53/180)</f>
        <v>-1.833047757465273</v>
      </c>
      <c r="C73" s="2">
        <f>C65*COS(PI()*C$53/180)</f>
        <v>49.2312742645607</v>
      </c>
      <c r="D73" s="2">
        <f>D65*COS(PI()*D$53/180)</f>
        <v>-58.719630139105185</v>
      </c>
      <c r="E73" s="2">
        <f>E65*COS(PI()*E$53/180)</f>
        <v>-21.674909065829528</v>
      </c>
    </row>
    <row r="74" spans="1:5" ht="12.75">
      <c r="A74" s="5" t="s">
        <v>152</v>
      </c>
      <c r="B74" s="2">
        <f>B65*SIN(PI()*B$53/180)</f>
        <v>-1.4869387437959882</v>
      </c>
      <c r="C74" s="2">
        <f>C65*SIN(PI()*C$53/180)</f>
        <v>17.48922148994743</v>
      </c>
      <c r="D74" s="2">
        <f>D65*SIN(PI()*D$53/180)</f>
        <v>2.933188267638853</v>
      </c>
      <c r="E74" s="2">
        <f>E65*SIN(PI()*E$53/180)</f>
        <v>-56.18392648570502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4"/>
  <sheetViews>
    <sheetView workbookViewId="0" topLeftCell="A29">
      <selection activeCell="A40" sqref="A40:IV40"/>
    </sheetView>
  </sheetViews>
  <sheetFormatPr defaultColWidth="11.00390625" defaultRowHeight="12.75"/>
  <cols>
    <col min="6" max="6" width="14.75390625" style="0" customWidth="1"/>
  </cols>
  <sheetData>
    <row r="1" ht="15.75">
      <c r="A1" s="8" t="s">
        <v>0</v>
      </c>
    </row>
    <row r="2" spans="1:5" ht="12.75">
      <c r="A2" s="5"/>
      <c r="B2" s="6" t="s">
        <v>274</v>
      </c>
      <c r="C2" s="6" t="s">
        <v>275</v>
      </c>
      <c r="D2" s="6" t="s">
        <v>276</v>
      </c>
      <c r="E2" s="6" t="s">
        <v>277</v>
      </c>
    </row>
    <row r="3" spans="1:5" ht="12.75">
      <c r="A3" s="5" t="s">
        <v>278</v>
      </c>
      <c r="B3" s="2">
        <v>19.01</v>
      </c>
      <c r="C3">
        <v>57.06</v>
      </c>
      <c r="D3">
        <v>3.53</v>
      </c>
      <c r="E3">
        <v>19.01</v>
      </c>
    </row>
    <row r="4" spans="1:5" ht="12.75">
      <c r="A4" s="5" t="s">
        <v>279</v>
      </c>
      <c r="B4" s="2">
        <v>20</v>
      </c>
      <c r="C4">
        <v>43.06</v>
      </c>
      <c r="D4">
        <v>6.56</v>
      </c>
      <c r="E4" s="2">
        <v>20</v>
      </c>
    </row>
    <row r="5" spans="1:5" ht="12.75">
      <c r="A5" s="5" t="s">
        <v>280</v>
      </c>
      <c r="B5" s="2">
        <v>21.78</v>
      </c>
      <c r="C5">
        <v>31.96</v>
      </c>
      <c r="D5">
        <v>2.14</v>
      </c>
      <c r="E5">
        <v>21.78</v>
      </c>
    </row>
    <row r="6" spans="1:5" ht="12.75">
      <c r="A6" s="5" t="s">
        <v>281</v>
      </c>
      <c r="B6" s="2">
        <v>95.05</v>
      </c>
      <c r="C6">
        <v>95.05</v>
      </c>
      <c r="D6">
        <v>109.85</v>
      </c>
      <c r="E6">
        <v>109.85</v>
      </c>
    </row>
    <row r="7" spans="1:5" ht="12.75">
      <c r="A7" s="5" t="s">
        <v>282</v>
      </c>
      <c r="B7" s="2">
        <v>100</v>
      </c>
      <c r="C7" s="2">
        <v>100</v>
      </c>
      <c r="D7" s="2">
        <v>100</v>
      </c>
      <c r="E7" s="2">
        <v>100</v>
      </c>
    </row>
    <row r="8" spans="1:5" ht="12.75">
      <c r="A8" s="5" t="s">
        <v>283</v>
      </c>
      <c r="B8" s="2">
        <v>108.88</v>
      </c>
      <c r="C8">
        <v>108.88</v>
      </c>
      <c r="D8">
        <v>35.58</v>
      </c>
      <c r="E8">
        <v>35.58</v>
      </c>
    </row>
    <row r="9" spans="1:5" ht="12.75">
      <c r="A9" s="5" t="s">
        <v>1</v>
      </c>
      <c r="B9" s="2">
        <v>20</v>
      </c>
      <c r="C9" s="2">
        <v>20</v>
      </c>
      <c r="D9" s="2">
        <v>20</v>
      </c>
      <c r="E9" s="2">
        <v>20</v>
      </c>
    </row>
    <row r="10" spans="1:5" ht="12.75">
      <c r="A10" s="5" t="s">
        <v>2</v>
      </c>
      <c r="B10" s="9">
        <v>5000</v>
      </c>
      <c r="C10" s="9">
        <v>500</v>
      </c>
      <c r="D10" s="9">
        <v>5000</v>
      </c>
      <c r="E10" s="9">
        <v>500</v>
      </c>
    </row>
    <row r="11" spans="1:5" ht="12.75">
      <c r="A11" s="5" t="s">
        <v>3</v>
      </c>
      <c r="B11" s="9">
        <v>1000</v>
      </c>
      <c r="C11" s="9">
        <v>1000</v>
      </c>
      <c r="D11" s="9">
        <v>1000</v>
      </c>
      <c r="E11" s="9">
        <v>1000</v>
      </c>
    </row>
    <row r="12" spans="1:5" ht="12.75">
      <c r="A12" s="5" t="s">
        <v>4</v>
      </c>
      <c r="B12" s="2">
        <f>(B9*B10)/(100*PI())</f>
        <v>318.3098861837907</v>
      </c>
      <c r="C12" s="2">
        <f>(C9*C10)/(100*PI())</f>
        <v>31.830988618379067</v>
      </c>
      <c r="D12" s="2">
        <f>(D9*D10)/(100*PI())</f>
        <v>318.3098861837907</v>
      </c>
      <c r="E12" s="2">
        <f>(E9*E10)/(100*PI())</f>
        <v>31.830988618379067</v>
      </c>
    </row>
    <row r="13" spans="1:5" ht="12.75">
      <c r="A13" s="5" t="s">
        <v>5</v>
      </c>
      <c r="B13" s="2">
        <f>(B9*B11)/(100*PI())</f>
        <v>63.66197723675813</v>
      </c>
      <c r="C13" s="2">
        <f>(C9*C11)/(100*PI())</f>
        <v>63.66197723675813</v>
      </c>
      <c r="D13" s="2">
        <f>(D9*D11)/(100*PI())</f>
        <v>63.66197723675813</v>
      </c>
      <c r="E13" s="2">
        <f>(E9*E11)/(100*PI())</f>
        <v>63.66197723675813</v>
      </c>
    </row>
    <row r="14" spans="1:5" ht="12.75">
      <c r="A14" s="5" t="s">
        <v>6</v>
      </c>
      <c r="B14" s="4">
        <f>B6/(B6+B7+B8)</f>
        <v>0.3127364853749218</v>
      </c>
      <c r="C14" s="4">
        <f>C6/(C6+C7+C8)</f>
        <v>0.3127364853749218</v>
      </c>
      <c r="D14" s="4">
        <f>D6/(D6+D7+D8)</f>
        <v>0.44758179521655866</v>
      </c>
      <c r="E14" s="4">
        <f>E6/(E6+E7+E8)</f>
        <v>0.44758179521655866</v>
      </c>
    </row>
    <row r="15" spans="1:5" ht="12.75">
      <c r="A15" s="5" t="s">
        <v>7</v>
      </c>
      <c r="B15" s="4">
        <f>B7/(B6+B7+B8)</f>
        <v>0.3290231303260619</v>
      </c>
      <c r="C15" s="4">
        <f>C7/(C6+C7+C8)</f>
        <v>0.3290231303260619</v>
      </c>
      <c r="D15" s="4">
        <f>D7/(D6+D7+D8)</f>
        <v>0.40744815222262964</v>
      </c>
      <c r="E15" s="4">
        <f>E7/(E6+E7+E8)</f>
        <v>0.40744815222262964</v>
      </c>
    </row>
    <row r="16" spans="1:5" ht="12.75">
      <c r="A16" s="5" t="s">
        <v>8</v>
      </c>
      <c r="B16" s="4">
        <f>(0.48105*B14+0.78841*B15-0.08081)/B15</f>
        <v>1.000042192</v>
      </c>
      <c r="C16" s="4">
        <f>(0.48105*C14+0.78841*C15-0.08081)/C15</f>
        <v>1.000042192</v>
      </c>
      <c r="D16" s="4">
        <f>(0.48105*D14+0.78841*D15-0.08081)/D15</f>
        <v>1.1185114420000002</v>
      </c>
      <c r="E16" s="4">
        <f>(0.48105*E14+0.78841*E15-0.08081)/E15</f>
        <v>1.1185114420000002</v>
      </c>
    </row>
    <row r="17" spans="1:5" ht="12.75">
      <c r="A17" s="5" t="s">
        <v>9</v>
      </c>
      <c r="B17" s="4">
        <f>(-0.272*B14+1.11962*B15+0.0457)/B15</f>
        <v>0.9999800099999999</v>
      </c>
      <c r="C17" s="4">
        <f>(-0.272*C14+1.11962*C15+0.0457)/C15</f>
        <v>0.9999800099999999</v>
      </c>
      <c r="D17" s="4">
        <f>(-0.272*D14+1.11962*D15+0.0457)/D15</f>
        <v>0.9329895100000001</v>
      </c>
      <c r="E17" s="4">
        <f>(-0.272*E14+1.11962*E15+0.0457)/E15</f>
        <v>0.9329895100000001</v>
      </c>
    </row>
    <row r="18" spans="1:5" ht="12.75">
      <c r="A18" s="5" t="s">
        <v>10</v>
      </c>
      <c r="B18" s="4">
        <f>0.91822*(1-B14-B15)/B15</f>
        <v>0.9997579360000003</v>
      </c>
      <c r="C18" s="4">
        <f>0.91822*(1-C14-C15)/C15</f>
        <v>0.9997579360000003</v>
      </c>
      <c r="D18" s="4">
        <f>0.91822*(1-D14-D15)/D15</f>
        <v>0.32670267600000025</v>
      </c>
      <c r="E18" s="4">
        <f>0.91822*(1-E14-E15)/E15</f>
        <v>0.32670267600000025</v>
      </c>
    </row>
    <row r="19" spans="1:5" ht="12.75">
      <c r="A19" s="5" t="s">
        <v>11</v>
      </c>
      <c r="B19" s="1">
        <f>B12*B16</f>
        <v>318.3233163145086</v>
      </c>
      <c r="C19" s="1">
        <f>C12*C16</f>
        <v>31.832331631450852</v>
      </c>
      <c r="D19" s="1">
        <f>D12*D16</f>
        <v>356.03324979828767</v>
      </c>
      <c r="E19" s="1">
        <f>E12*E16</f>
        <v>35.60332497982876</v>
      </c>
    </row>
    <row r="20" spans="1:5" ht="12.75">
      <c r="A20" s="5" t="s">
        <v>12</v>
      </c>
      <c r="B20" s="1">
        <f>B12*B17</f>
        <v>318.3035231691658</v>
      </c>
      <c r="C20" s="1">
        <f>C12*C17</f>
        <v>31.83035231691658</v>
      </c>
      <c r="D20" s="1">
        <f>D12*D17</f>
        <v>296.97978473877066</v>
      </c>
      <c r="E20" s="1">
        <f>E12*E17</f>
        <v>29.697978473877065</v>
      </c>
    </row>
    <row r="21" spans="1:5" ht="12.75">
      <c r="A21" s="5" t="s">
        <v>13</v>
      </c>
      <c r="B21" s="1">
        <f>B12*B18</f>
        <v>318.2328348195016</v>
      </c>
      <c r="C21" s="1">
        <f>C12*C18</f>
        <v>31.823283481950156</v>
      </c>
      <c r="D21" s="1">
        <f>D12*D18</f>
        <v>103.99269161349993</v>
      </c>
      <c r="E21" s="1">
        <f>E12*E18</f>
        <v>10.399269161349991</v>
      </c>
    </row>
    <row r="22" spans="1:5" ht="12.75">
      <c r="A22" s="5" t="s">
        <v>14</v>
      </c>
      <c r="B22" s="2">
        <f aca="true" t="shared" si="0" ref="B22:E23">(6.469+6.362*B19^0.4495)/(6.469+B19^0.4495)</f>
        <v>4.610622226467659</v>
      </c>
      <c r="C22" s="2">
        <f t="shared" si="0"/>
        <v>3.266732902586472</v>
      </c>
      <c r="D22" s="2">
        <f t="shared" si="0"/>
        <v>4.669445699775704</v>
      </c>
      <c r="E22" s="2">
        <f t="shared" si="0"/>
        <v>3.332825175865386</v>
      </c>
    </row>
    <row r="23" spans="1:5" ht="12.75">
      <c r="A23" s="5" t="s">
        <v>15</v>
      </c>
      <c r="B23" s="2">
        <f t="shared" si="0"/>
        <v>4.610589263466818</v>
      </c>
      <c r="C23" s="2">
        <f t="shared" si="0"/>
        <v>3.26669632961107</v>
      </c>
      <c r="D23" s="2">
        <f t="shared" si="0"/>
        <v>4.57363377556732</v>
      </c>
      <c r="E23" s="2">
        <f t="shared" si="0"/>
        <v>3.2260134270205594</v>
      </c>
    </row>
    <row r="24" spans="1:5" ht="12.75">
      <c r="A24" s="5" t="s">
        <v>16</v>
      </c>
      <c r="B24" s="2">
        <f>(8.414+8.091*B21^0.5128)/(8.414+B21^0.5128)*0.7844</f>
        <v>4.652069860953015</v>
      </c>
      <c r="C24" s="2">
        <f>(8.414+8.091*C21^0.5128)/(8.414+C21^0.5128)*0.7844</f>
        <v>3.0762827758459705</v>
      </c>
      <c r="D24" s="2">
        <f>(8.414+8.091*D21^0.5128)/(8.414+D21^0.5128)*0.7844</f>
        <v>3.913668790470077</v>
      </c>
      <c r="E24" s="2">
        <f>(8.414+8.091*E21^0.5128)/(8.414+E21^0.5128)*0.7844</f>
        <v>2.3591448960676686</v>
      </c>
    </row>
    <row r="25" spans="1:5" ht="12.75">
      <c r="A25" s="5" t="s">
        <v>17</v>
      </c>
      <c r="B25" s="2">
        <f>(6.469+6.362*B13^0.4495)/(6.469+B13^0.4495)</f>
        <v>3.681021495604088</v>
      </c>
      <c r="C25" s="2">
        <f>(6.469+6.362*C13^0.4495)/(6.469+C13^0.4495)</f>
        <v>3.681021495604088</v>
      </c>
      <c r="D25" s="2">
        <f>(6.469+6.362*D13^0.4495)/(6.469+D13^0.4495)</f>
        <v>3.681021495604088</v>
      </c>
      <c r="E25" s="2">
        <f>(6.469+6.362*E13^0.4495)/(6.469+E13^0.4495)</f>
        <v>3.681021495604088</v>
      </c>
    </row>
    <row r="26" spans="1:5" ht="12.75">
      <c r="A26" s="5" t="s">
        <v>18</v>
      </c>
      <c r="B26" s="2">
        <f>0.40024*B3+0.7076*B4-0.08081*B5</f>
        <v>20.0005206</v>
      </c>
      <c r="C26" s="2">
        <f>0.40024*C3+0.7076*C4-0.08081*C5</f>
        <v>50.724262800000005</v>
      </c>
      <c r="D26" s="2">
        <f>0.40024*D3+0.7076*D4-0.08081*D5</f>
        <v>5.8817698</v>
      </c>
      <c r="E26" s="2">
        <f>0.40024*E3+0.7076*E4-0.08081*E5</f>
        <v>20.0005206</v>
      </c>
    </row>
    <row r="27" spans="1:5" ht="12.75">
      <c r="A27" s="5" t="s">
        <v>19</v>
      </c>
      <c r="B27" s="2">
        <f>-0.2263*B3+1.16532*B4+0.0457*B5</f>
        <v>19.999782999999997</v>
      </c>
      <c r="C27" s="2">
        <f>-0.2263*C3+1.16532*C4+0.0457*C5</f>
        <v>38.7265732</v>
      </c>
      <c r="D27" s="2">
        <f>-0.2263*D3+1.16532*D4+0.0457*D5</f>
        <v>6.943458199999999</v>
      </c>
      <c r="E27" s="2">
        <f>-0.2263*E3+1.16532*E4+0.0457*E5</f>
        <v>19.999782999999997</v>
      </c>
    </row>
    <row r="28" spans="1:5" ht="12.75">
      <c r="A28" s="5" t="s">
        <v>20</v>
      </c>
      <c r="B28" s="2">
        <f>0.91822*B5</f>
        <v>19.998831600000003</v>
      </c>
      <c r="C28" s="2">
        <f>0.91822*C5</f>
        <v>29.346311200000002</v>
      </c>
      <c r="D28" s="2">
        <f>0.91822*D5</f>
        <v>1.9649908000000003</v>
      </c>
      <c r="E28" s="2">
        <f>0.91822*E5</f>
        <v>19.998831600000003</v>
      </c>
    </row>
    <row r="29" spans="1:5" ht="12.75">
      <c r="A29" s="5" t="s">
        <v>21</v>
      </c>
      <c r="B29" s="3">
        <f aca="true" t="shared" si="1" ref="B29:E30">IF(B26&lt;20*B16,1,1.758)</f>
        <v>1</v>
      </c>
      <c r="C29" s="3">
        <f t="shared" si="1"/>
        <v>1.758</v>
      </c>
      <c r="D29" s="3">
        <f t="shared" si="1"/>
        <v>1</v>
      </c>
      <c r="E29" s="3">
        <f t="shared" si="1"/>
        <v>1</v>
      </c>
    </row>
    <row r="30" spans="1:5" ht="12.75">
      <c r="A30" s="5" t="s">
        <v>22</v>
      </c>
      <c r="B30" s="3">
        <f t="shared" si="1"/>
        <v>1.758</v>
      </c>
      <c r="C30" s="3">
        <f t="shared" si="1"/>
        <v>1.758</v>
      </c>
      <c r="D30" s="3">
        <f t="shared" si="1"/>
        <v>1</v>
      </c>
      <c r="E30" s="3">
        <f t="shared" si="1"/>
        <v>1.758</v>
      </c>
    </row>
    <row r="31" spans="1:5" ht="12.75">
      <c r="A31" s="5" t="s">
        <v>23</v>
      </c>
      <c r="B31" s="9">
        <v>1</v>
      </c>
      <c r="C31" s="9">
        <v>1</v>
      </c>
      <c r="D31" s="9">
        <v>1</v>
      </c>
      <c r="E31" s="9">
        <v>1</v>
      </c>
    </row>
    <row r="32" spans="1:5" ht="12.75">
      <c r="A32" s="5" t="s">
        <v>24</v>
      </c>
      <c r="B32" s="2">
        <f>(41.69/B25)*((2/3)*B22*B29*LOG10((B26+B31)/(20*B16+B31))+(1/3)*B23*B30*LOG10((B27+B31)/(20*B17+B31)))</f>
        <v>-0.0001170242949551278</v>
      </c>
      <c r="C32" s="2">
        <f>(41.69/C25)*((2/3)*C22*C29*LOG10((C26+C31)/(20*C16+C31))+(1/3)*C23*C30*LOG10((C27+C31)/(20*C17+C31)))</f>
        <v>22.97689644279811</v>
      </c>
      <c r="D32" s="2">
        <f>(41.69/D25)*((2/3)*D22*D29*LOG10((D26+D31)/(20*D16+D31))+(1/3)*D23*D30*LOG10((D27+D31)/(20*D17+D31)))</f>
        <v>-25.515376190159216</v>
      </c>
      <c r="E32" s="2">
        <f>(41.69/E25)*((2/3)*E22*E29*LOG10((E26+E31)/(20*E16+E31))+(1/3)*E23*E30*LOG10((E27+E31)/(20*E17+E31)))</f>
        <v>-0.555341153778403</v>
      </c>
    </row>
    <row r="33" spans="1:5" ht="12.75">
      <c r="A33" s="5" t="s">
        <v>25</v>
      </c>
      <c r="B33" s="2">
        <f>B22*LOG10((B26+B31)/(20*B16+B31))-(12/11)*B23*LOG10((B27+B31)/(20*B17+B31))+(1/11)*B24*LOG10((B28+B31)/(20*B18+B31))</f>
        <v>-1.770676467718165E-05</v>
      </c>
      <c r="C33" s="2">
        <f>C22*LOG10((C26+C31)/(20*C16+C31))-(12/11)*C23*LOG10((C27+C31)/(20*C17+C31))+(1/11)*C24*LOG10((C28+C31)/(20*C18+C31))</f>
        <v>0.3368562911193316</v>
      </c>
      <c r="D33" s="2">
        <f>D22*LOG10((D26+D31)/(20*D16+D31))-(12/11)*D23*LOG10((D27+D31)/(20*D17+D31))+(1/11)*D24*LOG10((D28+D31)/(20*D18+D31))</f>
        <v>-0.6597163143665234</v>
      </c>
      <c r="E33" s="2">
        <f>E22*LOG10((E26+E31)/(20*E16+E31))-(12/11)*E23*LOG10((E27+E31)/(20*E17+E31))+(1/11)*E24*LOG10((E28+E31)/(20*E18+E31))</f>
        <v>-0.16005698342259203</v>
      </c>
    </row>
    <row r="34" spans="1:5" ht="12.75">
      <c r="A34" s="5" t="s">
        <v>26</v>
      </c>
      <c r="B34" s="2">
        <f>(1/9)*B22*LOG10((B26+B31)/(20*B16+B31))+(1/9)*B23*LOG10((B27+B31)/(20*B17+B31))-(2/9)*B24*LOG10((B28+B31)/(20*B18+B31))</f>
        <v>-8.002356135636378E-05</v>
      </c>
      <c r="C34" s="2">
        <f>(1/9)*C22*LOG10((C26+C31)/(20*C16+C31))+(1/9)*C23*LOG10((C27+C31)/(20*C17+C31))-(2/9)*C24*LOG10((C28+C31)/(20*C18+C31))</f>
        <v>0.1332120929083787</v>
      </c>
      <c r="D34" s="2">
        <f>(1/9)*D22*LOG10((D26+D31)/(20*D16+D31))+(1/9)*D23*LOG10((D27+D31)/(20*D17+D31))-(2/9)*D24*LOG10((D28+D31)/(20*D18+D31))</f>
        <v>-0.12324779470394609</v>
      </c>
      <c r="E34" s="2">
        <f>(1/9)*E22*LOG10((E26+E31)/(20*E16+E31))+(1/9)*E23*LOG10((E27+E31)/(20*E17+E31))-(2/9)*E24*LOG10((E28+E31)/(20*E18+E31))</f>
        <v>-0.24031078715524506</v>
      </c>
    </row>
    <row r="35" spans="1:5" ht="12.75">
      <c r="A35" s="5" t="s">
        <v>27</v>
      </c>
      <c r="B35" s="1">
        <f>IF(B34&gt;=0,(360/(2*PI()))*ATAN2(B33,B34),360+(360/(2*PI()))*ATAN2(B33,B34))</f>
        <v>257.52322689806243</v>
      </c>
      <c r="C35" s="1">
        <f>IF(C34&gt;=0,(360/(2*PI()))*ATAN2(C33,C34),360+(360/(2*PI()))*ATAN2(C33,C34))</f>
        <v>21.57665399776704</v>
      </c>
      <c r="D35" s="1">
        <f>IF(D34&gt;=0,(360/(2*PI()))*ATAN2(D33,D34),360+(360/(2*PI()))*ATAN2(D33,D34))</f>
        <v>190.58197855550443</v>
      </c>
      <c r="E35" s="1">
        <f>IF(E34&gt;=0,(360/(2*PI()))*ATAN2(E33,E34),360+(360/(2*PI()))*ATAN2(E33,E34))</f>
        <v>236.33473334356847</v>
      </c>
    </row>
    <row r="36" spans="1:5" ht="12.75">
      <c r="A36" s="5" t="s">
        <v>28</v>
      </c>
      <c r="B36" s="1">
        <f>B32+(50/B25)*((2/3)*B22+(1/3)*B23)</f>
        <v>62.62667345094065</v>
      </c>
      <c r="C36" s="1">
        <f>C32+(50/C25)*((2/3)*C22+(1/3)*C23)</f>
        <v>67.34937179367316</v>
      </c>
      <c r="D36" s="1">
        <f>D32+(50/D25)*((2/3)*D22+(1/3)*D23)</f>
        <v>37.47676331845817</v>
      </c>
      <c r="E36" s="1">
        <f>E32+(50/E25)*((2/3)*E22+(1/3)*E23)</f>
        <v>44.23142881647784</v>
      </c>
    </row>
    <row r="37" spans="1:5" ht="12.75">
      <c r="A37" s="5" t="s">
        <v>29</v>
      </c>
      <c r="B37" s="1">
        <f>(41.69/B25)*((2/3)*B22*1.758*LOG10((100*B16+B31)/(20*B16+B31))+(1/3)*B23*1.758*LOG10((100*B17+B31)/(20*B17+B31)))+(50/B25)*((2/3)*B22+(1/3)*B23)</f>
        <v>125.24353922788754</v>
      </c>
      <c r="C37" s="1">
        <f>(41.69/C25)*((2/3)*C22*1.758*LOG10((100*C16+C31)/(20*C16+C31))+(1/3)*C23*1.758*LOG10((100*C17+C31)/(20*C17+C31)))+(50/C25)*((2/3)*C22+(1/3)*C23)</f>
        <v>88.737835917794</v>
      </c>
      <c r="D37" s="1">
        <f>(41.69/D25)*((2/3)*D22*1.758*LOG10((100*D16+D31)/(20*D16+D31))+(1/3)*D23*1.758*LOG10((100*D17+D31)/(20*D17+D31)))+(50/D25)*((2/3)*D22+(1/3)*D23)</f>
        <v>126.0464107945312</v>
      </c>
      <c r="E37" s="1">
        <f>(41.69/E25)*((2/3)*E22*1.758*LOG10((100*E16+E31)/(20*E16+E31))+(1/3)*E23*1.758*LOG10((100*E17+E31)/(20*E17+E31)))+(50/E25)*((2/3)*E22+(1/3)*E23)</f>
        <v>89.61821401836227</v>
      </c>
    </row>
    <row r="38" spans="1:5" ht="12.75">
      <c r="A38" s="5" t="s">
        <v>30</v>
      </c>
      <c r="B38" s="1">
        <f>B32+50</f>
        <v>49.99988297570504</v>
      </c>
      <c r="C38" s="1">
        <f>C32+50</f>
        <v>72.97689644279811</v>
      </c>
      <c r="D38" s="1">
        <f>D32+50</f>
        <v>24.484623809840784</v>
      </c>
      <c r="E38" s="1">
        <f>E32+50</f>
        <v>49.4446588462216</v>
      </c>
    </row>
    <row r="39" spans="1:5" ht="12.75">
      <c r="A39" s="5" t="s">
        <v>31</v>
      </c>
      <c r="B39" s="1">
        <f>100*(B36/B37)</f>
        <v>50.00391544108951</v>
      </c>
      <c r="C39" s="1">
        <f>100*(C36/C37)</f>
        <v>75.89701855707305</v>
      </c>
      <c r="D39" s="1">
        <f>100*(D36/D37)</f>
        <v>29.73251128867858</v>
      </c>
      <c r="E39" s="1">
        <f>100*(E36/E37)</f>
        <v>49.35540090925608</v>
      </c>
    </row>
    <row r="40" spans="1:5" ht="12.75">
      <c r="A40" s="5" t="s">
        <v>32</v>
      </c>
      <c r="B40" s="1">
        <f>IF(B35&lt;20.14,386.5+(B35/20.14)*(400-386.5),IF(B35&lt;90,100*((B35-20.14)/(90-20.14)),IF(B35&lt;164.25,100+100*((B35-90)/(164.25-90)),IF(B35&lt;231,200+100*((B35-164.25)/(231-164.25)),300+86.5*((B35-231)/(360-231))))))</f>
        <v>317.7849544704062</v>
      </c>
      <c r="C40" s="1">
        <f>IF(C35&lt;20.14,386.5+(C35/20.14)*(400-386.5),IF(C35&lt;90,100*((C35-20.14)/(90-20.14)),IF(C35&lt;164.25,100+100*((C35-90)/(164.25-90)),IF(C35&lt;231,200+100*((C35-164.25)/(231-164.25)),300+86.5*((C35-231)/(360-231))))))</f>
        <v>2.05647580556404</v>
      </c>
      <c r="D40" s="1">
        <f>IF(D35&lt;20.14,386.5+(D35/20.14)*(400-386.5),IF(D35&lt;90,100*((D35-20.14)/(90-20.14)),IF(D35&lt;164.25,100+100*((D35-90)/(164.25-90)),IF(D35&lt;231,200+100*((D35-164.25)/(231-164.25)),300+86.5*((D35-231)/(360-231))))))</f>
        <v>239.44865701199166</v>
      </c>
      <c r="E40" s="1">
        <f>IF(E35&lt;20.14,386.5+(E35/20.14)*(400-386.5),IF(E35&lt;90,100*((E35-20.14)/(90-20.14)),IF(E35&lt;164.25,100+100*((E35-90)/(164.25-90)),IF(E35&lt;231,200+100*((E35-164.25)/(231-164.25)),300+86.5*((E35-231)/(360-231))))))</f>
        <v>303.5771661567339</v>
      </c>
    </row>
    <row r="41" spans="1:5" ht="12.75">
      <c r="A41" s="5" t="s">
        <v>33</v>
      </c>
      <c r="B41" s="9">
        <f>IF(B40&gt;300,B40-300,IF(B40&lt;100,100-B40,0))</f>
        <v>17.784954470406205</v>
      </c>
      <c r="C41" s="9">
        <f>IF(C40&gt;300,C40-300,IF(C40&lt;100,100-C40,0))</f>
        <v>97.94352419443597</v>
      </c>
      <c r="D41" s="9">
        <f>IF(D40&gt;300,D40-300,IF(D40&lt;100,100-D40,0))</f>
        <v>0</v>
      </c>
      <c r="E41" s="9">
        <f>IF(E40&gt;300,E40-300,IF(E40&lt;100,100-E40,0))</f>
        <v>3.577166156733881</v>
      </c>
    </row>
    <row r="42" spans="1:5" ht="12.75">
      <c r="A42" s="5" t="s">
        <v>34</v>
      </c>
      <c r="B42" s="9">
        <f>IF(B40&lt;=100,B40,IF(B40&lt;200,200-B40,0))</f>
        <v>0</v>
      </c>
      <c r="C42" s="9">
        <f>IF(C40&lt;=100,C40,IF(C40&lt;200,200-C40,0))</f>
        <v>2.05647580556404</v>
      </c>
      <c r="D42" s="9">
        <f>IF(D40&lt;=100,D40,IF(D40&lt;200,200-D40,0))</f>
        <v>0</v>
      </c>
      <c r="E42" s="9">
        <f>IF(E40&lt;=100,E40,IF(E40&lt;200,200-E40,0))</f>
        <v>0</v>
      </c>
    </row>
    <row r="43" spans="1:5" ht="12.75">
      <c r="A43" s="5" t="s">
        <v>35</v>
      </c>
      <c r="B43" s="9">
        <f>IF(B40&gt;100,IF(B40&lt;=200,B40-100,IF(B40&lt;300,300-B40,0)))</f>
        <v>0</v>
      </c>
      <c r="C43" s="9" t="b">
        <f>IF(C40&gt;100,IF(C40&lt;=200,C40-100,IF(C40&lt;300,300-C40,0)))</f>
        <v>0</v>
      </c>
      <c r="D43" s="9">
        <f>IF(D40&gt;100,IF(D40&lt;=200,D40-100,IF(D40&lt;300,300-D40,0)))</f>
        <v>60.551342988008344</v>
      </c>
      <c r="E43" s="9">
        <f>IF(E40&gt;100,IF(E40&lt;=200,E40-100,IF(E40&lt;300,300-E40,0)))</f>
        <v>0</v>
      </c>
    </row>
    <row r="44" spans="1:5" ht="12.75">
      <c r="A44" s="5" t="s">
        <v>36</v>
      </c>
      <c r="B44" s="9">
        <f>IF(B40&gt;300,400-B40,IF(B40&gt;200,B40-200,0))</f>
        <v>82.2150455295938</v>
      </c>
      <c r="C44" s="9">
        <f>IF(C40&gt;300,400-C40,IF(C40&gt;200,C40-200,0))</f>
        <v>0</v>
      </c>
      <c r="D44" s="9">
        <f>IF(D40&gt;300,400-D40,IF(D40&gt;200,D40-200,0))</f>
        <v>39.448657011991656</v>
      </c>
      <c r="E44" s="9">
        <f>IF(E40&gt;300,400-E40,IF(E40&gt;200,E40-200,0))</f>
        <v>96.42283384326612</v>
      </c>
    </row>
    <row r="45" spans="1:5" ht="12.75">
      <c r="A45" s="5" t="s">
        <v>37</v>
      </c>
      <c r="B45" s="1">
        <f>0.9394-0.2478*SIN(RADIANS(B35))-0.0743*SIN(RADIANS(2*B35))+0.0666*SIN(RADIANS(3*B35))-0.0186*SIN(RADIANS(4*B35))-0.0055*COS(RADIANS(B35))-0.0521*COS(RADIANS(2*B35))-0.0573*COS(RADIANS(3*B35))-0.0061*COS(RADIANS(4*B35))</f>
        <v>1.2267869824143067</v>
      </c>
      <c r="C45" s="1">
        <f>0.9394-0.2478*SIN(RADIANS(C35))-0.0743*SIN(RADIANS(2*C35))+0.0666*SIN(RADIANS(3*C35))-0.0186*SIN(RADIANS(4*C35))-0.0055*COS(RADIANS(C35))-0.0521*COS(RADIANS(2*C35))-0.0573*COS(RADIANS(3*C35))-0.0061*COS(RADIANS(4*C35))</f>
        <v>0.7711439637389715</v>
      </c>
      <c r="D45" s="1">
        <f>0.9394-0.2478*SIN(RADIANS(D35))-0.0743*SIN(RADIANS(2*D35))+0.0666*SIN(RADIANS(3*D35))-0.0186*SIN(RADIANS(4*D35))-0.0055*COS(RADIANS(D35))-0.0521*COS(RADIANS(2*D35))-0.0573*COS(RADIANS(3*D35))-0.0061*COS(RADIANS(4*D35))</f>
        <v>0.9115529659143259</v>
      </c>
      <c r="E45" s="1">
        <f>0.9394-0.2478*SIN(RADIANS(E35))-0.0743*SIN(RADIANS(2*E35))+0.0666*SIN(RADIANS(3*E35))-0.0186*SIN(RADIANS(4*E35))-0.0055*COS(RADIANS(E35))-0.0521*COS(RADIANS(2*E35))-0.0573*COS(RADIANS(3*E35))-0.0061*COS(RADIANS(4*E35))</f>
        <v>1.0487770418402715</v>
      </c>
    </row>
    <row r="46" spans="1:5" ht="12.75">
      <c r="A46" s="5" t="s">
        <v>38</v>
      </c>
      <c r="B46" s="1">
        <f>(488.93/B25)*B45*B33</f>
        <v>-0.0028852716381965854</v>
      </c>
      <c r="C46" s="1">
        <f>(488.93/C25)*C45*C33</f>
        <v>34.503127119492206</v>
      </c>
      <c r="D46" s="1">
        <f>(488.93/D25)*D45*D33</f>
        <v>-79.87621268278431</v>
      </c>
      <c r="E46" s="1">
        <f>(488.93/E25)*E45*E33</f>
        <v>-22.29647108175136</v>
      </c>
    </row>
    <row r="47" spans="1:5" ht="12.75">
      <c r="A47" s="5" t="s">
        <v>39</v>
      </c>
      <c r="B47" s="1">
        <f>(488.93/B25)*B45*B34</f>
        <v>-0.013039632941332506</v>
      </c>
      <c r="C47" s="1">
        <f>(488.93/C25)*C45*C34</f>
        <v>13.644494393139233</v>
      </c>
      <c r="D47" s="1">
        <f>(488.93/D25)*D45*D34</f>
        <v>-14.922424757540735</v>
      </c>
      <c r="E47" s="1">
        <f>(488.93/E25)*E45*E34</f>
        <v>-33.476093337915145</v>
      </c>
    </row>
    <row r="48" spans="1:5" ht="12.75">
      <c r="A48" s="5" t="s">
        <v>40</v>
      </c>
      <c r="B48" s="1">
        <f>SQRT(B46^2+B47^2)</f>
        <v>0.01335502975177762</v>
      </c>
      <c r="C48" s="1">
        <f>SQRT(C46^2+C47^2)</f>
        <v>37.10307276046347</v>
      </c>
      <c r="D48" s="1">
        <f>SQRT(D46^2+D47^2)</f>
        <v>81.2581572101525</v>
      </c>
      <c r="E48" s="1">
        <f>SQRT(E46^2+E47^2)</f>
        <v>40.22165396733681</v>
      </c>
    </row>
    <row r="49" spans="1:5" ht="12.75">
      <c r="A49" s="5" t="s">
        <v>41</v>
      </c>
      <c r="B49" s="1">
        <f>(B38/50)^0.7*B46</f>
        <v>-0.0028852669111386164</v>
      </c>
      <c r="C49" s="1">
        <f>(C38/50)^0.7*C46</f>
        <v>44.95823240846421</v>
      </c>
      <c r="D49" s="1">
        <f>(D38/50)^0.7*D46</f>
        <v>-48.45781936369656</v>
      </c>
      <c r="E49" s="1">
        <f>(E38/50)^0.7*E46</f>
        <v>-22.122830805854676</v>
      </c>
    </row>
    <row r="50" spans="1:5" ht="12.75">
      <c r="A50" s="5" t="s">
        <v>42</v>
      </c>
      <c r="B50" s="1">
        <f>(B38/50)^0.7*B47</f>
        <v>-0.013039611577971084</v>
      </c>
      <c r="C50" s="1">
        <f>(C38/50)^0.7*C47</f>
        <v>17.77903631454286</v>
      </c>
      <c r="D50" s="1">
        <f>(D38/50)^0.7*D47</f>
        <v>-9.052859907629465</v>
      </c>
      <c r="E50" s="1">
        <f>(E38/50)^0.7*E47</f>
        <v>-33.21538849086443</v>
      </c>
    </row>
    <row r="51" spans="1:5" ht="12.75">
      <c r="A51" s="5" t="s">
        <v>43</v>
      </c>
      <c r="B51" s="1">
        <f>(B38/50)^0.7*B48</f>
        <v>0.013355007871688767</v>
      </c>
      <c r="C51" s="1">
        <f>(C38/50)^0.7*C48</f>
        <v>48.34601114432622</v>
      </c>
      <c r="D51" s="1">
        <f>(D38/50)^0.7*D48</f>
        <v>49.29619184066666</v>
      </c>
      <c r="E51" s="1">
        <f>(E38/50)^0.7*E48</f>
        <v>39.908416098155556</v>
      </c>
    </row>
    <row r="52" spans="1:5" ht="12.75">
      <c r="A52" s="5" t="s">
        <v>44</v>
      </c>
      <c r="B52" s="1">
        <f>B49*B37/100</f>
        <v>-0.003613610395681152</v>
      </c>
      <c r="C52" s="1">
        <f>C49*C37/100</f>
        <v>39.89496250616346</v>
      </c>
      <c r="D52" s="1">
        <f>D49*D37/100</f>
        <v>-61.07934205723684</v>
      </c>
      <c r="E52" s="1">
        <f>E49*E37/100</f>
        <v>-19.82608585851102</v>
      </c>
    </row>
    <row r="53" spans="1:5" ht="12.75">
      <c r="A53" s="5" t="s">
        <v>45</v>
      </c>
      <c r="B53" s="1">
        <f>B50*B37/100</f>
        <v>-0.01633127104182038</v>
      </c>
      <c r="C53" s="1">
        <f>C50*C37/100</f>
        <v>15.776732072564052</v>
      </c>
      <c r="D53" s="1">
        <f>D50*D37/100</f>
        <v>-11.410804987824054</v>
      </c>
      <c r="E53" s="1">
        <f>E50*E37/100</f>
        <v>-29.76703794477335</v>
      </c>
    </row>
    <row r="54" spans="1:5" ht="12.75">
      <c r="A54" s="5" t="s">
        <v>46</v>
      </c>
      <c r="B54" s="1">
        <f>B51*B37/100</f>
        <v>0.016726284522665988</v>
      </c>
      <c r="C54" s="1">
        <f>C51*C37/100</f>
        <v>42.9012040420506</v>
      </c>
      <c r="D54" s="1">
        <f>D51*D37/100</f>
        <v>62.13608047354686</v>
      </c>
      <c r="E54" s="1">
        <f>E51*E37/100</f>
        <v>35.76520975018359</v>
      </c>
    </row>
  </sheetData>
  <printOptions gridLines="1" headings="1" horizontalCentered="1" verticalCentered="1"/>
  <pageMargins left="0.75" right="0.75" top="1" bottom="1" header="0.5" footer="0.5"/>
  <pageSetup fitToHeight="1" fitToWidth="1" orientation="portrait" paperSize="9" scale="88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1"/>
  <sheetViews>
    <sheetView workbookViewId="0" topLeftCell="A82">
      <selection activeCell="B80" sqref="B80:E80"/>
    </sheetView>
  </sheetViews>
  <sheetFormatPr defaultColWidth="11.00390625" defaultRowHeight="12.75"/>
  <cols>
    <col min="1" max="1" width="21.25390625" style="0" customWidth="1"/>
    <col min="6" max="6" width="14.75390625" style="0" customWidth="1"/>
  </cols>
  <sheetData>
    <row r="1" ht="15.75">
      <c r="A1" s="7" t="s">
        <v>47</v>
      </c>
    </row>
    <row r="2" spans="1:5" ht="12.75">
      <c r="A2" s="5"/>
      <c r="B2" s="6" t="s">
        <v>274</v>
      </c>
      <c r="C2" s="6" t="s">
        <v>275</v>
      </c>
      <c r="D2" s="6" t="s">
        <v>276</v>
      </c>
      <c r="E2" s="6" t="s">
        <v>277</v>
      </c>
    </row>
    <row r="3" spans="1:5" ht="12.75">
      <c r="A3" s="5" t="s">
        <v>278</v>
      </c>
      <c r="B3" s="2">
        <v>19.01</v>
      </c>
      <c r="C3">
        <v>57.06</v>
      </c>
      <c r="D3">
        <v>3.53</v>
      </c>
      <c r="E3">
        <v>19.01</v>
      </c>
    </row>
    <row r="4" spans="1:5" ht="12.75">
      <c r="A4" s="5" t="s">
        <v>279</v>
      </c>
      <c r="B4" s="2">
        <v>20</v>
      </c>
      <c r="C4">
        <v>43.06</v>
      </c>
      <c r="D4">
        <v>6.56</v>
      </c>
      <c r="E4" s="2">
        <v>20</v>
      </c>
    </row>
    <row r="5" spans="1:5" ht="12.75">
      <c r="A5" s="5" t="s">
        <v>280</v>
      </c>
      <c r="B5" s="2">
        <v>21.78</v>
      </c>
      <c r="C5">
        <v>31.96</v>
      </c>
      <c r="D5">
        <v>2.14</v>
      </c>
      <c r="E5">
        <v>21.78</v>
      </c>
    </row>
    <row r="6" spans="1:5" ht="12.75">
      <c r="A6" s="5" t="s">
        <v>48</v>
      </c>
      <c r="B6" s="2">
        <v>95.05</v>
      </c>
      <c r="C6">
        <v>95.05</v>
      </c>
      <c r="D6">
        <v>109.85</v>
      </c>
      <c r="E6">
        <v>109.85</v>
      </c>
    </row>
    <row r="7" spans="1:5" ht="12.75">
      <c r="A7" s="5" t="s">
        <v>49</v>
      </c>
      <c r="B7" s="2">
        <v>100</v>
      </c>
      <c r="C7" s="2">
        <v>100</v>
      </c>
      <c r="D7" s="2">
        <v>100</v>
      </c>
      <c r="E7" s="2">
        <v>100</v>
      </c>
    </row>
    <row r="8" spans="1:5" ht="12.75">
      <c r="A8" s="5" t="s">
        <v>50</v>
      </c>
      <c r="B8" s="2">
        <v>108.88</v>
      </c>
      <c r="C8">
        <v>108.88</v>
      </c>
      <c r="D8">
        <v>35.58</v>
      </c>
      <c r="E8">
        <v>35.58</v>
      </c>
    </row>
    <row r="9" spans="1:5" ht="12.75">
      <c r="A9" s="5" t="s">
        <v>51</v>
      </c>
      <c r="B9" s="9">
        <v>6504</v>
      </c>
      <c r="C9">
        <v>6504</v>
      </c>
      <c r="D9">
        <v>2856</v>
      </c>
      <c r="E9">
        <v>2856</v>
      </c>
    </row>
    <row r="10" spans="1:5" ht="12.75">
      <c r="A10" s="5" t="s">
        <v>52</v>
      </c>
      <c r="B10" s="2">
        <v>318.30988618379</v>
      </c>
      <c r="C10" s="2">
        <v>31.830988618379067</v>
      </c>
      <c r="D10" s="2">
        <v>318.3098861837907</v>
      </c>
      <c r="E10" s="2">
        <v>31.830988618379067</v>
      </c>
    </row>
    <row r="11" spans="1:5" ht="12.75">
      <c r="A11" s="5" t="s">
        <v>53</v>
      </c>
      <c r="B11" s="2">
        <f>2.26*B10*((B9/4000)-0.4)^(1/3)</f>
        <v>769.9373533521301</v>
      </c>
      <c r="C11" s="2">
        <f>2.26*C10*((C9/4000)-0.4)^(1/3)</f>
        <v>76.99373533521317</v>
      </c>
      <c r="D11" s="2">
        <f>2.26*D10*((D9/4000)-0.4)^(1/3)</f>
        <v>488.9545019303957</v>
      </c>
      <c r="E11" s="2">
        <f>2.26*E10*((E9/4000)-0.4)^(1/3)</f>
        <v>48.895450193039565</v>
      </c>
    </row>
    <row r="12" spans="1:5" ht="12.75">
      <c r="A12" s="5" t="s">
        <v>54</v>
      </c>
      <c r="B12" s="2">
        <v>20</v>
      </c>
      <c r="C12" s="2">
        <v>20</v>
      </c>
      <c r="D12" s="2">
        <v>20</v>
      </c>
      <c r="E12" s="2">
        <v>20</v>
      </c>
    </row>
    <row r="13" spans="1:5" ht="12.75">
      <c r="A13" s="5" t="s">
        <v>55</v>
      </c>
      <c r="B13" s="1">
        <v>1</v>
      </c>
      <c r="C13" s="1">
        <v>1</v>
      </c>
      <c r="D13" s="1">
        <v>1</v>
      </c>
      <c r="E13" s="1">
        <v>1</v>
      </c>
    </row>
    <row r="14" spans="1:5" ht="12.75">
      <c r="A14" s="5" t="s">
        <v>56</v>
      </c>
      <c r="B14" s="9">
        <v>75</v>
      </c>
      <c r="C14" s="9">
        <v>75</v>
      </c>
      <c r="D14" s="9">
        <v>75</v>
      </c>
      <c r="E14" s="9">
        <v>75</v>
      </c>
    </row>
    <row r="15" spans="1:5" ht="12.75">
      <c r="A15" s="5" t="s">
        <v>57</v>
      </c>
      <c r="B15" s="1">
        <f>0.725*(B7/B12)^0.2</f>
        <v>1.0003040045593807</v>
      </c>
      <c r="C15" s="1">
        <f>0.725*(C7/C12)^0.2</f>
        <v>1.0003040045593807</v>
      </c>
      <c r="D15" s="1">
        <f>0.725*(D7/D12)^0.2</f>
        <v>1.0003040045593807</v>
      </c>
      <c r="E15" s="1">
        <f>0.725*(E7/E12)^0.2</f>
        <v>1.0003040045593807</v>
      </c>
    </row>
    <row r="16" spans="1:5" ht="12.75">
      <c r="A16" s="5" t="s">
        <v>58</v>
      </c>
      <c r="B16" s="1">
        <f>0.725*(B7/B12)^0.2</f>
        <v>1.0003040045593807</v>
      </c>
      <c r="C16" s="1">
        <f>0.725*(C7/C12)^0.2</f>
        <v>1.0003040045593807</v>
      </c>
      <c r="D16" s="1">
        <f>0.725*(D7/D12)^0.2</f>
        <v>1.0003040045593807</v>
      </c>
      <c r="E16" s="1">
        <f>0.725*(E7/E12)^0.2</f>
        <v>1.0003040045593807</v>
      </c>
    </row>
    <row r="17" spans="1:5" ht="12.75">
      <c r="A17" s="5" t="s">
        <v>59</v>
      </c>
      <c r="B17" s="2">
        <f>0.38971*B3+0.68898*B4-0.07868*B5</f>
        <v>19.474336700000002</v>
      </c>
      <c r="C17" s="2">
        <f>0.38971*C3+0.68898*C4-0.07868*C5</f>
        <v>49.3897186</v>
      </c>
      <c r="D17" s="2">
        <f>0.38971*D3+0.68898*D4-0.07868*D5</f>
        <v>5.7270099000000005</v>
      </c>
      <c r="E17" s="2">
        <f>0.38971*E3+0.68898*E4-0.07868*E5</f>
        <v>19.474336700000002</v>
      </c>
    </row>
    <row r="18" spans="1:5" ht="12.75">
      <c r="A18" s="5" t="s">
        <v>60</v>
      </c>
      <c r="B18" s="2">
        <f>-0.22981*B3+1.1834*B4+0.04641*B5</f>
        <v>20.3101217</v>
      </c>
      <c r="C18" s="2">
        <f>-0.22981*C3+1.1834*C4+0.04641*C5</f>
        <v>39.327509000000006</v>
      </c>
      <c r="D18" s="2">
        <f>-0.22981*D3+1.1834*D4+0.04641*D5</f>
        <v>7.0511921</v>
      </c>
      <c r="E18" s="2">
        <f>-0.22981*E3+1.1834*E4+0.04641*E5</f>
        <v>20.3101217</v>
      </c>
    </row>
    <row r="19" spans="1:5" ht="12.75">
      <c r="A19" s="5" t="s">
        <v>61</v>
      </c>
      <c r="B19" s="2">
        <f>B5</f>
        <v>21.78</v>
      </c>
      <c r="C19" s="2">
        <f>C5</f>
        <v>31.96</v>
      </c>
      <c r="D19" s="2">
        <f>D5</f>
        <v>2.14</v>
      </c>
      <c r="E19" s="2">
        <f>E5</f>
        <v>21.78</v>
      </c>
    </row>
    <row r="20" spans="1:5" ht="12.75">
      <c r="A20" s="5" t="s">
        <v>62</v>
      </c>
      <c r="B20" s="2">
        <f>0.38971*B6+0.68898*B7-0.07868*B8</f>
        <v>97.37325710000002</v>
      </c>
      <c r="C20" s="2">
        <f>0.38971*C6+0.68898*C7-0.07868*C8</f>
        <v>97.37325710000002</v>
      </c>
      <c r="D20" s="2">
        <f>0.38971*D6+0.68898*D7-0.07868*D8</f>
        <v>108.90820910000002</v>
      </c>
      <c r="E20" s="2">
        <f>0.38971*E6+0.68898*E7-0.07868*E8</f>
        <v>108.90820910000002</v>
      </c>
    </row>
    <row r="21" spans="1:5" ht="12.75">
      <c r="A21" s="5" t="s">
        <v>63</v>
      </c>
      <c r="B21" s="2">
        <f>-0.22981*B6+1.1834*B7+0.04641*B8</f>
        <v>101.5496803</v>
      </c>
      <c r="C21" s="2">
        <f>-0.22981*C6+1.1834*C7+0.04641*C8</f>
        <v>101.5496803</v>
      </c>
      <c r="D21" s="2">
        <f>-0.22981*D6+1.1834*D7+0.04641*D8</f>
        <v>94.7466393</v>
      </c>
      <c r="E21" s="2">
        <f>-0.22981*E6+1.1834*E7+0.04641*E8</f>
        <v>94.7466393</v>
      </c>
    </row>
    <row r="22" spans="1:5" ht="12.75">
      <c r="A22" s="5" t="s">
        <v>64</v>
      </c>
      <c r="B22" s="2">
        <f>B8</f>
        <v>108.88</v>
      </c>
      <c r="C22" s="2">
        <f>C8</f>
        <v>108.88</v>
      </c>
      <c r="D22" s="2">
        <f>D8</f>
        <v>35.58</v>
      </c>
      <c r="E22" s="2">
        <f>E8</f>
        <v>35.58</v>
      </c>
    </row>
    <row r="23" spans="1:5" ht="12.75">
      <c r="A23" s="5" t="s">
        <v>65</v>
      </c>
      <c r="B23" s="9">
        <v>1</v>
      </c>
      <c r="C23" s="9">
        <v>1</v>
      </c>
      <c r="D23" s="9">
        <v>1</v>
      </c>
      <c r="E23" s="9">
        <v>1</v>
      </c>
    </row>
    <row r="24" spans="1:5" ht="12.75">
      <c r="A24" s="5" t="s">
        <v>66</v>
      </c>
      <c r="B24" s="9">
        <v>0</v>
      </c>
      <c r="C24" s="9">
        <v>0</v>
      </c>
      <c r="D24" s="9">
        <v>0</v>
      </c>
      <c r="E24" s="9">
        <v>0</v>
      </c>
    </row>
    <row r="25" spans="1:5" ht="12.75">
      <c r="A25" s="5" t="s">
        <v>67</v>
      </c>
      <c r="B25" s="2">
        <f>(10^7)/((10^7)+5*B10*(B20/100))</f>
        <v>0.999845049661404</v>
      </c>
      <c r="C25" s="2">
        <f>(10^7)/((10^7)+5*C10*(C20/100))</f>
        <v>0.9999845028049744</v>
      </c>
      <c r="D25" s="2">
        <f>(10^7)/((10^7)+5*D10*(D20/100))</f>
        <v>0.9998266972408366</v>
      </c>
      <c r="E25" s="2">
        <f>(10^7)/((10^7)+5*E10*(E20/100))</f>
        <v>0.9999826670206159</v>
      </c>
    </row>
    <row r="26" spans="1:5" ht="12.75">
      <c r="A26" s="5" t="s">
        <v>68</v>
      </c>
      <c r="B26" s="2">
        <f>(10^7)/((10^7)+5*B10*(B21/100))</f>
        <v>0.9998384047813437</v>
      </c>
      <c r="C26" s="2">
        <f>(10^7)/((10^7)+5*C10*(C21/100))</f>
        <v>0.9999838381276211</v>
      </c>
      <c r="D26" s="2">
        <f>(10^7)/((10^7)+5*D10*(D21/100))</f>
        <v>0.9998492287755306</v>
      </c>
      <c r="E26" s="2">
        <f>(10^7)/((10^7)+5*E10*(E21/100))</f>
        <v>0.9999849208313988</v>
      </c>
    </row>
    <row r="27" spans="1:5" ht="12.75">
      <c r="A27" s="5" t="s">
        <v>69</v>
      </c>
      <c r="B27" s="2">
        <f>(10^7)/((10^7)+5*B10*(B22/100))</f>
        <v>0.9998267421214557</v>
      </c>
      <c r="C27" s="2">
        <f>(10^7)/((10^7)+5*C10*(C22/100))</f>
        <v>0.9999826715100779</v>
      </c>
      <c r="D27" s="2">
        <f>(10^7)/((10^7)+5*D10*(D22/100))</f>
        <v>0.9999433758777206</v>
      </c>
      <c r="E27" s="2">
        <f>(10^7)/((10^7)+5*E10*(E22/100))</f>
        <v>0.9999943372991912</v>
      </c>
    </row>
    <row r="28" spans="1:5" ht="12.75">
      <c r="A28" s="5" t="s">
        <v>70</v>
      </c>
      <c r="B28" s="2">
        <f>1/(5*B10+1)</f>
        <v>0.0006279239944363732</v>
      </c>
      <c r="C28" s="2">
        <f>1/(5*C10+1)</f>
        <v>0.0062439533909747</v>
      </c>
      <c r="D28" s="2">
        <f>1/(5*D10+1)</f>
        <v>0.0006279239944363717</v>
      </c>
      <c r="E28" s="2">
        <f>1/(5*E10+1)</f>
        <v>0.0062439533909747</v>
      </c>
    </row>
    <row r="29" spans="1:5" ht="12.75">
      <c r="A29" s="5" t="s">
        <v>71</v>
      </c>
      <c r="B29" s="2">
        <f>0.2*B28^4*5*B10+0.1*(1-B28^4)^2*(5*B10)^(1/3)</f>
        <v>1.1675443249898576</v>
      </c>
      <c r="C29" s="2">
        <f>0.2*C28^4*5*C10+0.1*(1-C28^4)^2*(5*C10)^(1/3)</f>
        <v>0.5419261168744008</v>
      </c>
      <c r="D29" s="2">
        <f>0.2*D28^4*5*D10+0.1*(1-D28^4)^2*(5*D10)^(1/3)</f>
        <v>1.1675443249898587</v>
      </c>
      <c r="E29" s="2">
        <f>0.2*E28^4*5*E10+0.1*(1-E28^4)^2*(5*E10)^(1/3)</f>
        <v>0.5419261168744008</v>
      </c>
    </row>
    <row r="30" spans="1:5" ht="12.75">
      <c r="A30" s="5" t="s">
        <v>72</v>
      </c>
      <c r="B30" s="2">
        <f>(3*B20)/(B20+B21+B22)</f>
        <v>0.9490480297801083</v>
      </c>
      <c r="C30" s="2">
        <f>(3*C20)/(C20+C21+C22)</f>
        <v>0.9490480297801083</v>
      </c>
      <c r="D30" s="2">
        <f>(3*D20)/(D20+D21+D22)</f>
        <v>1.3657066664205932</v>
      </c>
      <c r="E30" s="2">
        <f>(3*E20)/(E20+E21+E22)</f>
        <v>1.3657066664205932</v>
      </c>
    </row>
    <row r="31" spans="1:5" ht="12.75">
      <c r="A31" s="5" t="s">
        <v>73</v>
      </c>
      <c r="B31" s="2">
        <f>(3*B21)/(B20+B21+B22)</f>
        <v>0.9897535204613679</v>
      </c>
      <c r="C31" s="2">
        <f>(3*C21)/(C20+C21+C22)</f>
        <v>0.9897535204613679</v>
      </c>
      <c r="D31" s="2">
        <f>(3*D21)/(D20+D21+D22)</f>
        <v>1.1881208770419251</v>
      </c>
      <c r="E31" s="2">
        <f>(3*E21)/(E20+E21+E22)</f>
        <v>1.1881208770419251</v>
      </c>
    </row>
    <row r="32" spans="1:5" ht="12.75">
      <c r="A32" s="5" t="s">
        <v>74</v>
      </c>
      <c r="B32" s="2">
        <f>(3*B22)/(B20+B21+B22)</f>
        <v>1.0611984497585238</v>
      </c>
      <c r="C32" s="2">
        <f>(3*C22)/(C20+C21+C22)</f>
        <v>1.0611984497585238</v>
      </c>
      <c r="D32" s="2">
        <f>(3*D22)/(D20+D21+D22)</f>
        <v>0.4461724565374815</v>
      </c>
      <c r="E32" s="2">
        <f>(3*E22)/(E20+E21+E22)</f>
        <v>0.4461724565374815</v>
      </c>
    </row>
    <row r="33" spans="1:5" ht="12.75">
      <c r="A33" s="5" t="s">
        <v>75</v>
      </c>
      <c r="B33" s="2">
        <f>IF(B23=0,(1+B10^(1/3)+B30)/(1+B10^(1/3)+(1/B30)),1)</f>
        <v>1</v>
      </c>
      <c r="C33" s="2">
        <f>IF(C23=0,(1+C10^(1/3)+C30)/(1+C10^(1/3)+(1/C30)),1)</f>
        <v>1</v>
      </c>
      <c r="D33" s="2">
        <f>IF(D23=0,(1+D10^(1/3)+D30)/(1+D10^(1/3)+(1/D30)),1)</f>
        <v>1</v>
      </c>
      <c r="E33" s="2">
        <f>IF(E23=0,(1+E10^(1/3)+E30)/(1+E10^(1/3)+(1/E30)),1)</f>
        <v>1</v>
      </c>
    </row>
    <row r="34" spans="1:5" ht="12.75">
      <c r="A34" s="5" t="s">
        <v>76</v>
      </c>
      <c r="B34" s="2">
        <f>IF(B23=0,(1+B10^(1/3)+B31)/(1+B10^(1/3)+(1/B31)),1)</f>
        <v>1</v>
      </c>
      <c r="C34" s="2">
        <f>IF(C23=0,(1+C10^(1/3)+C31)/(1+C10^(1/3)+(1/C31)),1)</f>
        <v>1</v>
      </c>
      <c r="D34" s="2">
        <f>IF(D23=0,(1+D10^(1/3)+D31)/(1+D10^(1/3)+(1/D31)),1)</f>
        <v>1</v>
      </c>
      <c r="E34" s="2">
        <f>IF(E23=0,(1+E10^(1/3)+E31)/(1+E10^(1/3)+(1/E31)),1)</f>
        <v>1</v>
      </c>
    </row>
    <row r="35" spans="1:5" ht="12.75">
      <c r="A35" s="5" t="s">
        <v>77</v>
      </c>
      <c r="B35" s="2">
        <f>IF(B23=0,(1+B10^(1/3)+B32)/(1+B10^(1/3)+(1/B32)),1)</f>
        <v>1</v>
      </c>
      <c r="C35" s="2">
        <f>IF(C23=0,(1+C10^(1/3)+C32)/(1+C10^(1/3)+(1/C32)),1)</f>
        <v>1</v>
      </c>
      <c r="D35" s="2">
        <f>IF(D23=0,(1+D10^(1/3)+D32)/(1+D10^(1/3)+(1/D32)),1)</f>
        <v>1</v>
      </c>
      <c r="E35" s="2">
        <f>IF(E23=0,(1+E10^(1/3)+E32)/(1+E10^(1/3)+(1/E32)),1)</f>
        <v>1</v>
      </c>
    </row>
    <row r="36" spans="1:5" ht="12.75">
      <c r="A36" s="5" t="s">
        <v>78</v>
      </c>
      <c r="B36" s="2">
        <f>IF(B24=0,0,(40*(((B12/B7)*B29*B34)^0.75/(((B12/B7)*B29*B34)^0.75+2))-(40*(((B12/B7)*B29*B33)^0.75/(((B12/B7)*B29*B33)^0.75+2)))))</f>
        <v>0</v>
      </c>
      <c r="C36" s="2">
        <f>IF(C24=0,0,(40*(((C12/C7)*C29*C34)^0.75/(((C12/C7)*C29*C34)^0.75+2))-(40*(((C12/C7)*C29*C33)^0.75/(((C12/C7)*C29*C33)^0.75+2)))))</f>
        <v>0</v>
      </c>
      <c r="D36" s="2">
        <f>IF(D24=0,0,(40*(((D12/D7)*D29*D34)^0.75/(((D12/D7)*D29*D34)^0.75+2))-(40*(((D12/D7)*D29*D33)^0.75/(((D12/D7)*D29*D33)^0.75+2)))))</f>
        <v>0</v>
      </c>
      <c r="E36" s="2">
        <f>IF(E24=0,0,(40*(((E12/E7)*E29*E34)^0.75/(((E12/E7)*E29*E34)^0.75+2))-(40*(((E12/E7)*E29*E33)^0.75/(((E12/E7)*E29*E33)^0.75+2)))))</f>
        <v>0</v>
      </c>
    </row>
    <row r="37" spans="1:5" ht="12.75">
      <c r="A37" s="5" t="s">
        <v>79</v>
      </c>
      <c r="B37" s="2">
        <v>0</v>
      </c>
      <c r="C37" s="2">
        <v>0</v>
      </c>
      <c r="D37" s="2">
        <v>0</v>
      </c>
      <c r="E37" s="2">
        <v>0</v>
      </c>
    </row>
    <row r="38" spans="1:5" ht="12.75">
      <c r="A38" s="5" t="s">
        <v>80</v>
      </c>
      <c r="B38" s="2">
        <f>IF(B24=0,0,(40*(((B12/B7)*B29*B34)^0.75/(((B12/B7)*B29*B34)^0.75+2))-(40*(((B12/B7)*B29*B35)^0.75/(((B12/B7)*B29*B35)^0.75+2)))))</f>
        <v>0</v>
      </c>
      <c r="C38" s="2">
        <f>IF(C24=0,0,(40*(((C12/C7)*C29*C34)^0.75/(((C12/C7)*C29*C34)^0.75+2))-(40*(((C12/C7)*C29*C35)^0.75/(((C12/C7)*C29*C35)^0.75+2)))))</f>
        <v>0</v>
      </c>
      <c r="D38" s="2">
        <f>IF(D24=0,0,(40*(((D12/D7)*D29*D34)^0.75/(((D12/D7)*D29*D34)^0.75+2))-(40*(((D12/D7)*D29*D35)^0.75/(((D12/D7)*D29*D35)^0.75+2)))))</f>
        <v>0</v>
      </c>
      <c r="E38" s="2">
        <f>IF(E24=0,0,(40*(((E12/E7)*E29*E34)^0.75/(((E12/E7)*E29*E34)^0.75+2))-(40*(((E12/E7)*E29*E35)^0.75/(((E12/E7)*E29*E35)^0.75+2)))))</f>
        <v>0</v>
      </c>
    </row>
    <row r="39" spans="1:5" ht="12.75">
      <c r="A39" s="5" t="s">
        <v>81</v>
      </c>
      <c r="B39" s="2">
        <f>B25*((40*((B29*B33*B17/B20)^0.73/((B29*B33*B17/B20)^0.73+2)))+B36)+1</f>
        <v>6.895945050923221</v>
      </c>
      <c r="C39" s="2">
        <f>C25*((40*((C29*C33*C17/C20)^0.73/((C29*C33*C17/C20)^0.73+2)))+C36)+1</f>
        <v>7.520876883353998</v>
      </c>
      <c r="D39" s="2">
        <f>D25*((40*((D29*D33*D17/D20)^0.73/((D29*D33*D17/D20)^0.73+2)))+D36)+1</f>
        <v>3.4482867828576285</v>
      </c>
      <c r="E39" s="2">
        <f>E25*((40*((E29*E33*E17/E20)^0.73/((E29*E33*E17/E20)^0.73+2)))+E36)+1</f>
        <v>4.336037708125936</v>
      </c>
    </row>
    <row r="40" spans="1:5" ht="12.75">
      <c r="A40" s="5" t="s">
        <v>82</v>
      </c>
      <c r="B40" s="2">
        <f>B26*((40*((B29*B34*B18/B21)^0.73/((B29*B34*B18/B21)^0.73+2)))+B37)+1</f>
        <v>6.895998709590264</v>
      </c>
      <c r="C40" s="2">
        <f>C26*((40*((C29*C34*C18/C21)^0.73/((C29*C34*C18/C21)^0.73+2)))+C37)+1</f>
        <v>6.515830855494339</v>
      </c>
      <c r="D40" s="2">
        <f>D26*((40*((D29*D34*D18/D21)^0.73/((D29*D34*D18/D21)^0.73+2)))+D37)+1</f>
        <v>4.100087780467958</v>
      </c>
      <c r="E40" s="2">
        <f>E26*((40*((E29*E34*E18/E21)^0.73/((E29*E34*E18/E21)^0.73+2)))+E37)+1</f>
        <v>4.763750570999843</v>
      </c>
    </row>
    <row r="41" spans="1:5" ht="12.75">
      <c r="A41" s="5" t="s">
        <v>83</v>
      </c>
      <c r="B41" s="2">
        <f>B27*((40*((B29*B35*B19/B22)^0.73/((B29*B35*B19/B22)^0.73+2)))+B38)+1</f>
        <v>6.896570408964344</v>
      </c>
      <c r="C41" s="2">
        <f>C27*((40*((C29*C35*C19/C22)^0.73/((C29*C35*C19/C22)^0.73+2)))+C38)+1</f>
        <v>5.622300388010819</v>
      </c>
      <c r="D41" s="2">
        <f>D27*((40*((D29*D35*D19/D22)^0.73/((D29*D35*D19/D22)^0.73+2)))+D38)+1</f>
        <v>3.6839279163901435</v>
      </c>
      <c r="E41" s="2">
        <f>E27*((40*((E29*E35*E19/E22)^0.73/((E29*E35*E19/E22)^0.73+2)))+E38)+1</f>
        <v>8.30508643054836</v>
      </c>
    </row>
    <row r="42" spans="1:5" ht="12.75">
      <c r="A42" s="5" t="s">
        <v>84</v>
      </c>
      <c r="B42" s="2">
        <f>B25*((40*((B29*B33*B20/B20)^0.73/((B29*B33*B20/B20)^0.73+2)))+B36)+1</f>
        <v>15.354451215981964</v>
      </c>
      <c r="C42" s="2">
        <f>C25*((40*((C29*C33*C20/C20)^0.73/((C29*C33*C20/C20)^0.73+2)))+C36)+1</f>
        <v>10.689992238419478</v>
      </c>
      <c r="D42" s="2">
        <f>D25*((40*((D29*D33*D20/D20)^0.73/((D29*D33*D20/D20)^0.73+2)))+D36)+1</f>
        <v>15.354187736229964</v>
      </c>
      <c r="E42" s="2">
        <f>E25*((40*((E29*E33*E20/E20)^0.73/((E29*E33*E20/E20)^0.73+2)))+E36)+1</f>
        <v>10.689974449407613</v>
      </c>
    </row>
    <row r="43" spans="1:5" ht="12.75">
      <c r="A43" s="5" t="s">
        <v>85</v>
      </c>
      <c r="B43" s="2">
        <f>B26*((40*((B29*B34*B21/B21)^0.73/((B29*B34*B21/B21)^0.73+2)))+B37)+1</f>
        <v>15.35435581759329</v>
      </c>
      <c r="C43" s="2">
        <f>C26*((40*((C29*C34*C21/C21)^0.73/((C29*C34*C21/C21)^0.73+2)))+C37)+1</f>
        <v>10.68998579760127</v>
      </c>
      <c r="D43" s="2">
        <f>D26*((40*((D29*D34*D21/D21)^0.73/((D29*D34*D21/D21)^0.73+2)))+D37)+1</f>
        <v>15.354511214168566</v>
      </c>
      <c r="E43" s="2">
        <f>E26*((40*((E29*E34*E21/E21)^0.73/((E29*E34*E21/E21)^0.73+2)))+E37)+1</f>
        <v>10.689996289155062</v>
      </c>
    </row>
    <row r="44" spans="1:5" ht="12.75">
      <c r="A44" s="5" t="s">
        <v>86</v>
      </c>
      <c r="B44" s="2">
        <f>B27*((40*((B29*B35*B22/B22)^0.73/((B29*B35*B22/B22)^0.73+2)))+B38)+1</f>
        <v>15.354188380566455</v>
      </c>
      <c r="C44" s="2">
        <f>C27*((40*((C29*C35*C22/C22)^0.73/((C29*C35*C22/C22)^0.73+2)))+C38)+1</f>
        <v>10.68997449291114</v>
      </c>
      <c r="D44" s="2">
        <f>D27*((40*((D29*D35*D22/D22)^0.73/((D29*D35*D22/D22)^0.73+2)))+D38)+1</f>
        <v>15.355862853591065</v>
      </c>
      <c r="E44" s="2">
        <f>E27*((40*((E29*E35*E22/E22)^0.73/((E29*E35*E22/E22)^0.73+2)))+E38)+1</f>
        <v>10.690087536068955</v>
      </c>
    </row>
    <row r="45" spans="1:5" ht="12.75">
      <c r="A45" s="5" t="s">
        <v>87</v>
      </c>
      <c r="B45" s="2">
        <f>2*B39+B40+(1/20)*B41-3.05+1</f>
        <v>18.982717331884924</v>
      </c>
      <c r="C45" s="2">
        <f>2*C39+C40+(1/20)*C41-3.05+1</f>
        <v>19.788699641602875</v>
      </c>
      <c r="D45" s="2">
        <f>2*D39+D40+(1/20)*D41-3.05+1</f>
        <v>9.130857742002721</v>
      </c>
      <c r="E45" s="2">
        <f>2*E39+E40+(1/20)*E41-3.05+1</f>
        <v>11.801080308779131</v>
      </c>
    </row>
    <row r="46" spans="1:5" ht="12.75">
      <c r="A46" s="5" t="s">
        <v>88</v>
      </c>
      <c r="B46" s="2">
        <f>2*B42+B43+(1/20)*B44-3.05+1</f>
        <v>44.78096766858555</v>
      </c>
      <c r="C46" s="2">
        <f>2*C42+C43+(1/20)*C44-3.05+1</f>
        <v>30.55446899908578</v>
      </c>
      <c r="D46" s="2">
        <f>2*D42+D43+(1/20)*D44-3.05+1</f>
        <v>44.78067982930805</v>
      </c>
      <c r="E46" s="2">
        <f>2*E42+E43+(1/20)*E44-3.05+1</f>
        <v>30.554449564773737</v>
      </c>
    </row>
    <row r="47" spans="1:7" ht="12.75">
      <c r="A47" s="5" t="s">
        <v>89</v>
      </c>
      <c r="B47" s="2">
        <f>B39-B40</f>
        <v>-5.3658667042988384E-05</v>
      </c>
      <c r="C47" s="2">
        <f aca="true" t="shared" si="0" ref="C47:E51">C39-C40</f>
        <v>1.0050460278596596</v>
      </c>
      <c r="D47" s="2">
        <f t="shared" si="0"/>
        <v>-0.6518009976103296</v>
      </c>
      <c r="E47" s="2">
        <f t="shared" si="0"/>
        <v>-0.4277128628739071</v>
      </c>
      <c r="G47" t="s">
        <v>90</v>
      </c>
    </row>
    <row r="48" spans="1:5" ht="12.75">
      <c r="A48" s="5" t="s">
        <v>91</v>
      </c>
      <c r="B48" s="2">
        <f>B40-B41</f>
        <v>-0.0005716993740794152</v>
      </c>
      <c r="C48" s="2">
        <f t="shared" si="0"/>
        <v>0.8935304674835196</v>
      </c>
      <c r="D48" s="2">
        <f t="shared" si="0"/>
        <v>0.4161598640778146</v>
      </c>
      <c r="E48" s="2">
        <f t="shared" si="0"/>
        <v>-3.541335859548518</v>
      </c>
    </row>
    <row r="49" spans="1:5" ht="12.75">
      <c r="A49" s="5" t="s">
        <v>92</v>
      </c>
      <c r="B49" s="2">
        <f>B41-B39</f>
        <v>0.0006253580411224036</v>
      </c>
      <c r="C49" s="2">
        <f>C41-C39</f>
        <v>-1.8985764953431792</v>
      </c>
      <c r="D49" s="2">
        <f>D41-D39</f>
        <v>0.23564113353251503</v>
      </c>
      <c r="E49" s="2">
        <f>E41-E39</f>
        <v>3.969048722422425</v>
      </c>
    </row>
    <row r="50" spans="1:5" ht="12.75">
      <c r="A50" s="5" t="s">
        <v>93</v>
      </c>
      <c r="B50" s="2">
        <f>B42-B43</f>
        <v>9.5398388673118E-05</v>
      </c>
      <c r="C50" s="2">
        <f t="shared" si="0"/>
        <v>6.4408182076647336E-06</v>
      </c>
      <c r="D50" s="2">
        <f t="shared" si="0"/>
        <v>-0.00032347793860232343</v>
      </c>
      <c r="E50" s="2">
        <f t="shared" si="0"/>
        <v>-2.1839747448737512E-05</v>
      </c>
    </row>
    <row r="51" spans="1:5" ht="12.75">
      <c r="A51" s="5" t="s">
        <v>94</v>
      </c>
      <c r="B51" s="2">
        <f>B43-B44</f>
        <v>0.00016743702683541528</v>
      </c>
      <c r="C51" s="2">
        <f t="shared" si="0"/>
        <v>1.1304690129776418E-05</v>
      </c>
      <c r="D51" s="2">
        <f t="shared" si="0"/>
        <v>-0.0013516394224986072</v>
      </c>
      <c r="E51" s="2">
        <f t="shared" si="0"/>
        <v>-9.124691389317263E-05</v>
      </c>
    </row>
    <row r="52" spans="1:5" ht="12.75">
      <c r="A52" s="5" t="s">
        <v>95</v>
      </c>
      <c r="B52" s="2">
        <f>B44-B42</f>
        <v>-0.0002628354155085333</v>
      </c>
      <c r="C52" s="2">
        <f>C44-C42</f>
        <v>-1.774550833744115E-05</v>
      </c>
      <c r="D52" s="2">
        <f>D44-D42</f>
        <v>0.0016751173611009307</v>
      </c>
      <c r="E52" s="2">
        <f>E44-E42</f>
        <v>0.00011308666134191014</v>
      </c>
    </row>
    <row r="53" spans="1:5" ht="12.75">
      <c r="A53" s="5" t="s">
        <v>96</v>
      </c>
      <c r="B53" s="2">
        <f>(1/2)*(B48-B49)/4.5</f>
        <v>-0.00013300637946686876</v>
      </c>
      <c r="C53" s="2">
        <f>(1/2)*(C48-C49)/4.5</f>
        <v>0.31023410698074433</v>
      </c>
      <c r="D53" s="2">
        <f>(1/2)*(D48-D49)/4.5</f>
        <v>0.020057636727255506</v>
      </c>
      <c r="E53" s="2">
        <f>(1/2)*(E48-E49)/4.5</f>
        <v>-0.8344871757745492</v>
      </c>
    </row>
    <row r="54" spans="1:5" ht="12.75">
      <c r="A54" s="5" t="s">
        <v>97</v>
      </c>
      <c r="B54" s="2">
        <f>B47-(B48/11)</f>
        <v>-1.685996672132461E-06</v>
      </c>
      <c r="C54" s="2">
        <f>C47-(C48/11)</f>
        <v>0.9238159853611578</v>
      </c>
      <c r="D54" s="2">
        <f>D47-(D48/11)</f>
        <v>-0.6896337125264945</v>
      </c>
      <c r="E54" s="2">
        <f>E47-(E48/11)</f>
        <v>-0.10577323927858728</v>
      </c>
    </row>
    <row r="55" spans="1:5" ht="12.75">
      <c r="A55" s="5" t="s">
        <v>98</v>
      </c>
      <c r="B55" s="1">
        <f>IF(B53&gt;=0,(360/(2*PI()))*ATAN2(B54,B53),360+(360/(2*PI()))*ATAN2(B54,B53))</f>
        <v>269.27375423291375</v>
      </c>
      <c r="C55" s="1">
        <f>IF(C53&gt;=0,(360/(2*PI()))*ATAN2(C54,C53),360+(360/(2*PI()))*ATAN2(C54,C53))</f>
        <v>18.56298192312472</v>
      </c>
      <c r="D55" s="1">
        <f>IF(D53&gt;=0,(360/(2*PI()))*ATAN2(D54,D53),360+(360/(2*PI()))*ATAN2(D54,D53))</f>
        <v>178.33405178547176</v>
      </c>
      <c r="E55" s="1">
        <f>IF(E53&gt;=0,(360/(2*PI()))*ATAN2(E54,E53),360+(360/(2*PI()))*ATAN2(E54,E53))</f>
        <v>262.7761455167786</v>
      </c>
    </row>
    <row r="56" spans="1:5" ht="12.75">
      <c r="A56" s="5" t="s">
        <v>32</v>
      </c>
      <c r="B56" s="1">
        <f>IF(B55&lt;20.14,385.9+(14.1*(B55)/0.856)/((B55)/0.856+(20.14-B55)/0.8),IF(B55&lt;90,(100*(B55-20.14)/0.8)/((B55-20.14)/0.8+(90-B55)/0.7),IF(B55&lt;164.25,100+(100*(B55-90)/0.7)/((B55-90)/0.7+(164.25-B55)/1),IF(B55&lt;237.53,200+(100*(B55-164.25)/1)/((B55-164.25)/1+(237.53-B55)/1.2),300+(85.9*(B55-237.53)/1.2)/((B55-237.53)/1.2+(360-B55)/0.856)))))</f>
        <v>317.1571579610793</v>
      </c>
      <c r="C56" s="1">
        <f>IF(C55&lt;20.14,385.9+(14.1*(C55)/0.856)/((C55)/0.856+(20.14-C55)/0.8),IF(C55&lt;90,(100*(C55-20.14)/0.8)/((C55-20.14)/0.8+(90-C55)/0.7),IF(C55&lt;164.25,100+(100*(C55-90)/0.7)/((C55-90)/0.7+(164.25-C55)/1),IF(C55&lt;237.53,200+(100*(C55-164.25)/1)/((C55-164.25)/1+(237.53-C55)/1.2),300+(85.9*(C55-237.53)/1.2)/((C55-237.53)/1.2+(360-C55)/0.856)))))</f>
        <v>398.82508582604567</v>
      </c>
      <c r="D56" s="1">
        <f>IF(D55&lt;20.14,385.9+(14.1*(D55)/0.856)/((D55)/0.856+(20.14-D55)/0.8),IF(D55&lt;90,(100*(D55-20.14)/0.8)/((D55-20.14)/0.8+(90-D55)/0.7),IF(D55&lt;164.25,100+(100*(D55-90)/0.7)/((D55-90)/0.7+(164.25-D55)/1),IF(D55&lt;237.53,200+(100*(D55-164.25)/1)/((D55-164.25)/1+(237.53-D55)/1.2),300+(85.9*(D55-237.53)/1.2)/((D55-237.53)/1.2+(360-D55)/0.856)))))</f>
        <v>222.20968535114227</v>
      </c>
      <c r="E56" s="1">
        <f>IF(E55&lt;20.14,385.9+(14.1*(E55)/0.856)/((E55)/0.856+(20.14-E55)/0.8),IF(E55&lt;90,(100*(E55-20.14)/0.8)/((E55-20.14)/0.8+(90-E55)/0.7),IF(E55&lt;164.25,100+(100*(E55-90)/0.7)/((E55-90)/0.7+(164.25-E55)/1),IF(E55&lt;237.53,200+(100*(E55-164.25)/1)/((E55-164.25)/1+(237.53-E55)/1.2),300+(85.9*(E55-237.53)/1.2)/((E55-237.53)/1.2+(360-E55)/0.856)))))</f>
        <v>313.42470514415515</v>
      </c>
    </row>
    <row r="57" spans="1:5" ht="12.75">
      <c r="A57" s="5" t="s">
        <v>33</v>
      </c>
      <c r="B57" s="9">
        <f>IF(B56&gt;300,B56-300,IF(B56&lt;100,100-B56,0))</f>
        <v>17.157157961079292</v>
      </c>
      <c r="C57" s="9">
        <f>IF(C56&gt;300,C56-300,IF(C56&lt;100,100-C56,0))</f>
        <v>98.82508582604567</v>
      </c>
      <c r="D57" s="9">
        <f>IF(D56&gt;300,D56-300,IF(D56&lt;100,100-D56,0))</f>
        <v>0</v>
      </c>
      <c r="E57" s="9">
        <f>IF(E56&gt;300,E56-300,IF(E56&lt;100,100-E56,0))</f>
        <v>13.424705144155155</v>
      </c>
    </row>
    <row r="58" spans="1:5" ht="12.75">
      <c r="A58" s="5" t="s">
        <v>34</v>
      </c>
      <c r="B58" s="9">
        <f>IF(B56&lt;=100,B56,IF(B56&lt;200,200-B56,0))</f>
        <v>0</v>
      </c>
      <c r="C58" s="9">
        <f>IF(C56&lt;=100,C56,IF(C56&lt;200,200-C56,0))</f>
        <v>0</v>
      </c>
      <c r="D58" s="9">
        <f>IF(D56&lt;=100,D56,IF(D56&lt;200,200-D56,0))</f>
        <v>0</v>
      </c>
      <c r="E58" s="9">
        <f>IF(E56&lt;=100,E56,IF(E56&lt;200,200-E56,0))</f>
        <v>0</v>
      </c>
    </row>
    <row r="59" spans="1:5" ht="12.75">
      <c r="A59" s="5" t="s">
        <v>35</v>
      </c>
      <c r="B59" s="9">
        <f>IF(B56&gt;100,IF(B56&lt;=200,B56-100,IF(B56&lt;300,300-B56,0)))</f>
        <v>0</v>
      </c>
      <c r="C59" s="9">
        <f>IF(C56&gt;100,IF(C56&lt;=200,C56-100,IF(C56&lt;300,300-C56,0)))</f>
        <v>0</v>
      </c>
      <c r="D59" s="9">
        <f>IF(D56&gt;100,IF(D56&lt;=200,D56-100,IF(D56&lt;300,300-D56,0)))</f>
        <v>77.79031464885773</v>
      </c>
      <c r="E59" s="9">
        <f>IF(E56&gt;100,IF(E56&lt;=200,E56-100,IF(E56&lt;300,300-E56,0)))</f>
        <v>0</v>
      </c>
    </row>
    <row r="60" spans="1:5" ht="12.75">
      <c r="A60" s="5" t="s">
        <v>36</v>
      </c>
      <c r="B60" s="9">
        <f>IF(B56&gt;300,400-B56,IF(B56&gt;200,B56-200,0))</f>
        <v>82.84284203892071</v>
      </c>
      <c r="C60" s="9">
        <f>IF(C56&gt;300,400-C56,IF(C56&gt;200,C56-200,0))</f>
        <v>1.1749141739543347</v>
      </c>
      <c r="D60" s="9">
        <f>IF(D56&gt;300,400-D56,IF(D56&gt;200,D56-200,0))</f>
        <v>22.20968535114227</v>
      </c>
      <c r="E60" s="9">
        <f>IF(E56&gt;300,400-E56,IF(E56&gt;200,E56-200,0))</f>
        <v>86.57529485584485</v>
      </c>
    </row>
    <row r="61" spans="1:5" ht="12.75">
      <c r="A61" s="5" t="s">
        <v>99</v>
      </c>
      <c r="B61" s="2">
        <f>IF(B55&lt;20.14,0.856-(B55/20.14)*0.056,IF(B55&lt;90,0.7+0.1*(90-B55)/(90-20.14),IF(B55&lt;164.25,1-0.3*(164.25-B55)/(164.25-90),IF(B55&lt;237.53,1.2-0.2*(237.53-B55)/(237.53-164.25),0.856+0.344*(360-B55)/(360-237.53)))))</f>
        <v>1.1108365195058192</v>
      </c>
      <c r="C61" s="2">
        <f>IF(C55&lt;20.14,0.856-(C55/20.14)*0.056,IF(C55&lt;90,0.7+0.1*(90-C55)/(90-20.14),IF(C55&lt;164.25,1-0.3*(164.25-C55)/(164.25-90),IF(C55&lt;237.53,1.2-0.2*(237.53-C55)/(237.53-164.25),0.856+0.344*(360-C55)/(360-237.53)))))</f>
        <v>0.8043849559237842</v>
      </c>
      <c r="D61" s="2">
        <f>IF(D55&lt;20.14,0.856-(D55/20.14)*0.056,IF(D55&lt;90,0.7+0.1*(90-D55)/(90-20.14),IF(D55&lt;164.25,1-0.3*(164.25-D55)/(164.25-90),IF(D55&lt;237.53,1.2-0.2*(237.53-D55)/(237.53-164.25),0.856+0.344*(360-D55)/(360-237.53)))))</f>
        <v>1.0384390059647155</v>
      </c>
      <c r="E61" s="2">
        <f>IF(E55&lt;20.14,0.856-(E55/20.14)*0.056,IF(E55&lt;90,0.7+0.1*(90-E55)/(90-20.14),IF(E55&lt;164.25,1-0.3*(164.25-E55)/(164.25-90),IF(E55&lt;237.53,1.2-0.2*(237.53-E55)/(237.53-164.25),0.856+0.344*(360-E55)/(360-237.53)))))</f>
        <v>1.12908733520232</v>
      </c>
    </row>
    <row r="62" spans="1:5" ht="12.75">
      <c r="A62" s="5" t="s">
        <v>100</v>
      </c>
      <c r="B62" s="2">
        <f>(1/2)*(B51-B52)/4.5</f>
        <v>4.780804914932762E-05</v>
      </c>
      <c r="C62" s="2">
        <f>(1/2)*(C51-C52)/4.5</f>
        <v>3.227799829690841E-06</v>
      </c>
      <c r="D62" s="2">
        <f>(1/2)*(D51-D52)/4.5</f>
        <v>-0.00033630630928883757</v>
      </c>
      <c r="E62" s="2">
        <f>(1/2)*(E51-E52)/4.5</f>
        <v>-2.2703730581675864E-05</v>
      </c>
    </row>
    <row r="63" spans="1:5" ht="12.75">
      <c r="A63" s="5" t="s">
        <v>101</v>
      </c>
      <c r="B63" s="2">
        <f>B50-(B51/11)</f>
        <v>8.017684077898934E-05</v>
      </c>
      <c r="C63" s="2">
        <f>C50-(C51/11)</f>
        <v>5.4131191049577865E-06</v>
      </c>
      <c r="D63" s="2">
        <f>D50-(D51/11)</f>
        <v>-0.0002006016274660864</v>
      </c>
      <c r="E63" s="2">
        <f>E50-(E51/11)</f>
        <v>-1.3544573458449092E-05</v>
      </c>
    </row>
    <row r="64" spans="1:5" ht="12.75">
      <c r="A64" s="5" t="s">
        <v>102</v>
      </c>
      <c r="B64" s="1">
        <f>IF(B62&gt;=0,(360/(2*PI()))*ATAN2(B63,B62),360+(360/(2*PI()))*ATAN2(B63,B62))</f>
        <v>30.80688525614357</v>
      </c>
      <c r="C64" s="1">
        <f>IF(C62&gt;=0,(360/(2*PI()))*ATAN2(C63,C62),360+(360/(2*PI()))*ATAN2(C63,C62))</f>
        <v>30.807287353014434</v>
      </c>
      <c r="D64" s="1">
        <f>IF(D62&gt;=0,(360/(2*PI()))*ATAN2(D63,D62),360+(360/(2*PI()))*ATAN2(D63,D62))</f>
        <v>239.1845626514454</v>
      </c>
      <c r="E64" s="1">
        <f>IF(E62&gt;=0,(360/(2*PI()))*ATAN2(E63,E62),360+(360/(2*PI()))*ATAN2(E63,E62))</f>
        <v>239.18057666688262</v>
      </c>
    </row>
    <row r="65" spans="1:5" ht="12.75">
      <c r="A65" s="5" t="s">
        <v>103</v>
      </c>
      <c r="B65" s="2">
        <f>IF(B64&lt;20.14,0.856-(B64/20.14)*0.056,IF(B64&lt;90,0.7+0.1*(90-B64)/(90-20.14),IF(B64&lt;164.25,1-0.3*(164.25-B64)/(164.25-90),IF(B64&lt;237.53,1.2-0.2*(237.53-B64)/(237.53-164.25),0.856+0.344*(360-B64)/(360-237.53)))))</f>
        <v>0.7847310546004242</v>
      </c>
      <c r="C65" s="2">
        <f>IF(C64&lt;20.14,0.856-(C64/20.14)*0.056,IF(C64&lt;90,0.7+0.1*(90-C64)/(90-20.14),IF(C64&lt;164.25,1-0.3*(164.25-C64)/(164.25-90),IF(C64&lt;237.53,1.2-0.2*(237.53-C64)/(237.53-164.25),0.856+0.344*(360-C64)/(360-237.53)))))</f>
        <v>0.7847304790251726</v>
      </c>
      <c r="D65" s="2">
        <f>IF(D64&lt;20.14,0.856-(D64/20.14)*0.056,IF(D64&lt;90,0.7+0.1*(90-D64)/(90-20.14),IF(D64&lt;164.25,1-0.3*(164.25-D64)/(164.25-90),IF(D64&lt;237.53,1.2-0.2*(237.53-D64)/(237.53-164.25),0.856+0.344*(360-D64)/(360-237.53)))))</f>
        <v>1.1953525797983406</v>
      </c>
      <c r="E65" s="2">
        <f>IF(E64&lt;20.14,0.856-(E64/20.14)*0.056,IF(E64&lt;90,0.7+0.1*(90-E64)/(90-20.14),IF(E64&lt;164.25,1-0.3*(164.25-E64)/(164.25-90),IF(E64&lt;237.53,1.2-0.2*(237.53-E64)/(237.53-164.25),0.856+0.344*(360-E64)/(360-237.53)))))</f>
        <v>1.1953637758356526</v>
      </c>
    </row>
    <row r="66" spans="1:5" ht="12.75">
      <c r="A66" s="5" t="s">
        <v>104</v>
      </c>
      <c r="B66" s="2">
        <f>B10/(B10+0.1)</f>
        <v>0.9996859393996884</v>
      </c>
      <c r="C66" s="2">
        <f>C10/(C10+0.1)</f>
        <v>0.9968682460416386</v>
      </c>
      <c r="D66" s="2">
        <f>D10/(D10+0.1)</f>
        <v>0.9996859393996884</v>
      </c>
      <c r="E66" s="2">
        <f>E10/(E10+0.1)</f>
        <v>0.9968682460416386</v>
      </c>
    </row>
    <row r="67" spans="1:5" ht="12.75">
      <c r="A67" s="5" t="s">
        <v>45</v>
      </c>
      <c r="B67" s="2">
        <f>100*((1/2)*(B48-B49)/4.5)*(B61*(10/13)*B13*B15*B66)</f>
        <v>-0.011365141828404332</v>
      </c>
      <c r="C67" s="2">
        <f>100*((1/2)*(C48-C49)/4.5)*(C61*(10/13)*C13*C15*C66)</f>
        <v>19.141673282352446</v>
      </c>
      <c r="D67" s="2">
        <f>100*((1/2)*(D48-D49)/4.5)*(D61*(10/13)*D13*D15*D66)</f>
        <v>1.6021862232955166</v>
      </c>
      <c r="E67" s="2">
        <f>100*((1/2)*(E48-E49)/4.5)*(E61*(10/13)*E13*E15*E66)</f>
        <v>-72.27259029648083</v>
      </c>
    </row>
    <row r="68" spans="1:5" ht="12.75">
      <c r="A68" s="5" t="s">
        <v>44</v>
      </c>
      <c r="B68" s="2">
        <f>100*(B47-(B48/11))*(B61*(10/13)*B13*B15)</f>
        <v>-0.00014411046424449083</v>
      </c>
      <c r="C68" s="2">
        <f>100*(C47-(C48/11))*(C61*(10/13)*C13*C15)</f>
        <v>57.179199044110575</v>
      </c>
      <c r="D68" s="2">
        <f>100*(D47-(D48/11))*(D61*(10/13)*D13*D15)</f>
        <v>-55.104635193476796</v>
      </c>
      <c r="E68" s="2">
        <f>100*(E47-(E48/11))*(E61*(10/13)*E13*E15)</f>
        <v>-9.189502407204078</v>
      </c>
    </row>
    <row r="69" spans="1:5" ht="12.75">
      <c r="A69" s="5" t="s">
        <v>46</v>
      </c>
      <c r="B69" s="2">
        <f>SQRT(B67^2+B68^2)</f>
        <v>0.011366055454978676</v>
      </c>
      <c r="C69" s="2">
        <f>SQRT(C67^2+C68^2)</f>
        <v>60.29812981655684</v>
      </c>
      <c r="D69" s="2">
        <f>SQRT(D67^2+D68^2)</f>
        <v>55.12792233070533</v>
      </c>
      <c r="E69" s="2">
        <f>SQRT(E67^2+E68^2)</f>
        <v>72.85447318219373</v>
      </c>
    </row>
    <row r="70" spans="1:5" ht="12.75">
      <c r="A70" s="5" t="s">
        <v>105</v>
      </c>
      <c r="B70" s="2">
        <f>100*((1/2)*(B51-B52)/4.5)*(B65*(10/13)*B13*B15*B66)</f>
        <v>0.002885852306027613</v>
      </c>
      <c r="C70" s="2">
        <f>100*((1/2)*(C51-C52)/4.5)*(C65*(10/13)*C13*C15*C66)</f>
        <v>0.00019429137991918642</v>
      </c>
      <c r="D70" s="2">
        <f>100*((1/2)*(D51-D52)/4.5)*(D65*(10/13)*D13*D15*D66)</f>
        <v>-0.030923117958021516</v>
      </c>
      <c r="E70" s="2">
        <f>100*((1/2)*(E51-E52)/4.5)*(E65*(10/13)*E13*E15*E66)</f>
        <v>-0.002081726797724566</v>
      </c>
    </row>
    <row r="71" spans="1:5" ht="12.75">
      <c r="A71" s="5" t="s">
        <v>106</v>
      </c>
      <c r="B71" s="2">
        <f>100*(B50-(B51/11))*(B65*(10/13)*B13*B15)</f>
        <v>0.004841260303997179</v>
      </c>
      <c r="C71" s="2">
        <f>100*(C50-(C51/11))*(C65*(10/13)*C13*C15)</f>
        <v>0.00032685622391107885</v>
      </c>
      <c r="D71" s="2">
        <f>100*(D50-(D51/11))*(D65*(10/13)*D13*D15)</f>
        <v>-0.01845096692747593</v>
      </c>
      <c r="E71" s="2">
        <f>100*(E50-(E51/11))*(E65*(10/13)*E13*E15)</f>
        <v>-0.0012458165012081462</v>
      </c>
    </row>
    <row r="72" spans="1:5" ht="12.75">
      <c r="A72" s="5" t="s">
        <v>107</v>
      </c>
      <c r="B72" s="2">
        <f>SQRT(B70^2+B71^2)</f>
        <v>0.005636128535019739</v>
      </c>
      <c r="C72" s="2">
        <f>SQRT(C70^2+C71^2)</f>
        <v>0.00038024220099866735</v>
      </c>
      <c r="D72" s="2">
        <f>SQRT(D70^2+D71^2)</f>
        <v>0.03600940717096747</v>
      </c>
      <c r="E72" s="2">
        <f>SQRT(E70^2+E71^2)</f>
        <v>0.0024260348750681808</v>
      </c>
    </row>
    <row r="73" spans="1:5" ht="12.75">
      <c r="A73" s="5" t="s">
        <v>108</v>
      </c>
      <c r="B73" s="2">
        <f>(50*B69)/(B39+B40+B41)</f>
        <v>0.02746948224959345</v>
      </c>
      <c r="C73" s="2">
        <f>(50*C69)/(C39+C40+C41)</f>
        <v>153.3600510957987</v>
      </c>
      <c r="D73" s="2">
        <f>(50*D69)/(D39+D40+D41)</f>
        <v>245.39902851735047</v>
      </c>
      <c r="E73" s="2">
        <f>(50*E69)/(E39+E40+E41)</f>
        <v>209.2932997147606</v>
      </c>
    </row>
    <row r="74" spans="1:5" ht="12.75">
      <c r="A74" s="5" t="s">
        <v>109</v>
      </c>
      <c r="B74" s="2">
        <f>(0.5/(1+0.3*((5*B11/2.26)*(B4/B7))^0.3))+(0.5/(1+5*(5*B11)/2.26))</f>
        <v>0.18353524531389193</v>
      </c>
      <c r="C74" s="2">
        <f>(0.5/(1+0.3*((5*C11/2.26)*(C4/C7))^0.3))+(0.5/(1+5*(5*C11)/2.26))</f>
        <v>0.2400184692193537</v>
      </c>
      <c r="D74" s="2">
        <f>(0.5/(1+0.3*((5*D11/2.26)*(D4/D7))^0.3))+(0.5/(1+5*(5*D11)/2.26))</f>
        <v>0.2407622500807638</v>
      </c>
      <c r="E74" s="2">
        <f>(0.5/(1+0.3*((5*E11/2.26)*(E4/E7))^0.3))+(0.5/(1+5*(5*E11)/2.26))</f>
        <v>0.28590136591556886</v>
      </c>
    </row>
    <row r="75" spans="1:5" ht="12.75">
      <c r="A75" s="5" t="s">
        <v>110</v>
      </c>
      <c r="B75" s="2">
        <f>(0.5/(1+0.3*((5*B11/2.26)*(B7/B7))^0.3))+(0.5/(1+5*(5*B11)/2.26))</f>
        <v>0.13178094906392882</v>
      </c>
      <c r="C75" s="2">
        <f>(0.5/(1+0.3*((5*C11/2.26)*(C7/C7))^0.3))+(0.5/(1+5*(5*C11)/2.26))</f>
        <v>0.2088110549282803</v>
      </c>
      <c r="D75" s="2">
        <f>(0.5/(1+0.3*((5*D11/2.26)*(D7/D7))^0.3))+(0.5/(1+5*(5*D11)/2.26))</f>
        <v>0.14544828128502146</v>
      </c>
      <c r="E75" s="2">
        <f>(0.5/(1+0.3*((5*E11/2.26)*(E7/E7))^0.3))+(0.5/(1+5*(5*E11)/2.26))</f>
        <v>0.22586285471637954</v>
      </c>
    </row>
    <row r="76" spans="1:5" ht="12.75">
      <c r="A76" s="5" t="s">
        <v>111</v>
      </c>
      <c r="B76" s="2">
        <f>0.00001/((5*B11/2.26)+0.00001)</f>
        <v>5.870607464082388E-09</v>
      </c>
      <c r="C76" s="2">
        <f>0.00001/((5*C11/2.26)+0.00001)</f>
        <v>5.870607153906105E-08</v>
      </c>
      <c r="D76" s="2">
        <f>0.00001/((5*D11/2.26)+0.00001)</f>
        <v>9.244213807974286E-09</v>
      </c>
      <c r="E76" s="2">
        <f>0.00001/((5*E11/2.26)+0.00001)</f>
        <v>9.244213038874951E-08</v>
      </c>
    </row>
    <row r="77" spans="1:5" ht="12.75">
      <c r="A77" s="5" t="s">
        <v>112</v>
      </c>
      <c r="B77" s="2">
        <f>3800*B76^2*(5*B11/2.26)+0.2*(1-B76^2)^4*(5*B11/2.26)^(1/6)</f>
        <v>0.6911667250149227</v>
      </c>
      <c r="C77" s="2">
        <f>3800*C76^2*(5*C11/2.26)+0.2*(1-C76^2)^4*(5*C11/2.26)^(1/6)</f>
        <v>0.47088641022827105</v>
      </c>
      <c r="D77" s="2">
        <f>3800*D76^2*(5*D11/2.26)+0.2*(1-D76^2)^4*(5*D11/2.26)^(1/6)</f>
        <v>0.6407938450666736</v>
      </c>
      <c r="E77" s="2">
        <f>3800*E76^2*(5*E11/2.26)+0.2*(1-E76^2)^4*(5*E11/2.26)^(1/6)</f>
        <v>0.43656776781854223</v>
      </c>
    </row>
    <row r="78" spans="1:5" ht="12.75">
      <c r="A78" s="5" t="s">
        <v>113</v>
      </c>
      <c r="B78" s="2">
        <f>B74*3.05*(40*((B77*B4/B7)^0.73/((B77*B4/B7)^0.73+2)))+0.3</f>
        <v>2.6620157510678126</v>
      </c>
      <c r="C78" s="2">
        <f>C74*3.05*(40*((C77*C4/C7)^0.73/((C77*C4/C7)^0.73+2)))+0.3</f>
        <v>4.251176956500412</v>
      </c>
      <c r="D78" s="2">
        <f>D74*3.05*(40*((D77*D4/D7)^0.73/((D77*D4/D7)^0.73+2)))+0.3</f>
        <v>1.684198596489535</v>
      </c>
      <c r="E78" s="2">
        <f>E74*3.05*(40*((E77*E4/E7)^0.73/((E77*E4/E7)^0.73+2)))+0.3</f>
        <v>3.0125387732760696</v>
      </c>
    </row>
    <row r="79" spans="1:5" ht="12.75">
      <c r="A79" s="5" t="s">
        <v>117</v>
      </c>
      <c r="B79" s="2">
        <f>B16*(B45-1+B78-0.3+SQRT(1^2+0.3^2))</f>
        <v>21.395266015538397</v>
      </c>
      <c r="C79" s="2">
        <f>C16*(C45-1+C78-0.3+SQRT(1^2+0.3^2))</f>
        <v>23.791137665237926</v>
      </c>
      <c r="D79" s="2">
        <f>D16*(D45-1+D78-0.3+SQRT(1^2+0.3^2))</f>
        <v>10.56229699997098</v>
      </c>
      <c r="E79" s="2">
        <f>E16*(E45-1+E78-0.3+SQRT(1^2+0.3^2))</f>
        <v>14.56207532483894</v>
      </c>
    </row>
    <row r="80" spans="1:5" ht="12.75">
      <c r="A80" s="5" t="s">
        <v>118</v>
      </c>
      <c r="B80" s="2">
        <f>B75*3.05*(40*((B77*B7/B7)^0.73/((B77*B7/B7)^0.73+2)))+0.3</f>
        <v>4.742470730301448</v>
      </c>
      <c r="C80" s="2">
        <f>C75*3.05*(40*((C77*C7/C7)^0.73/((C77*C7/C7)^0.73+2)))+0.3</f>
        <v>6.004476965899632</v>
      </c>
      <c r="D80" s="2">
        <f>D75*3.05*(40*((D77*D7/D7)^0.73/((D77*D7/D7)^0.73+2)))+0.3</f>
        <v>5.009635116582759</v>
      </c>
      <c r="E80" s="2">
        <f>E75*3.05*(40*((E77*E7/E7)^0.73/((E77*E7/E7)^0.73+2)))+0.3</f>
        <v>6.209820568029661</v>
      </c>
    </row>
    <row r="81" spans="1:5" ht="12.75">
      <c r="A81" s="5" t="s">
        <v>119</v>
      </c>
      <c r="B81" s="2">
        <f>B16*(B46-1+B80-0.3+SQRT(1^2+0.3^2))</f>
        <v>49.28244658499833</v>
      </c>
      <c r="C81" s="2">
        <f>C16*(C46-1+C80-0.3+SQRT(1^2+0.3^2))</f>
        <v>36.31401288628678</v>
      </c>
      <c r="D81" s="2">
        <f>D16*(D46-1+D80-0.3+SQRT(1^2+0.3^2))</f>
        <v>49.549404263689226</v>
      </c>
      <c r="E81" s="2">
        <f>E16*(E46-1+E80-0.3+SQRT(1^2+0.3^2))</f>
        <v>36.51939947358794</v>
      </c>
    </row>
    <row r="82" spans="1:5" ht="12.75">
      <c r="A82" s="5" t="s">
        <v>120</v>
      </c>
      <c r="B82" s="2">
        <f>(7*B81)^0.5/(5.33*B14^0.13)</f>
        <v>1.987970688463877</v>
      </c>
      <c r="C82" s="2">
        <f>(7*C81)^0.5/(5.33*C14^0.13)</f>
        <v>1.7064790794252733</v>
      </c>
      <c r="D82" s="2">
        <f>(7*D81)^0.5/(5.33*D14^0.13)</f>
        <v>1.993347727606713</v>
      </c>
      <c r="E82" s="2">
        <f>(7*E81)^0.5/(5.33*E14^0.13)</f>
        <v>1.711298069484643</v>
      </c>
    </row>
    <row r="83" spans="1:5" ht="12.75">
      <c r="A83" s="5" t="s">
        <v>121</v>
      </c>
      <c r="B83" s="2">
        <f>7*B81*B14^0.362/200</f>
        <v>8.23251406888624</v>
      </c>
      <c r="C83" s="2">
        <f>7*C81*C14^0.362/200</f>
        <v>6.066168437243837</v>
      </c>
      <c r="D83" s="2">
        <f>7*D81*D14^0.362/200</f>
        <v>8.27710870648869</v>
      </c>
      <c r="E83" s="2">
        <f>7*E81*E14^0.362/200</f>
        <v>6.1004777722440995</v>
      </c>
    </row>
    <row r="84" spans="1:5" ht="12.75">
      <c r="A84" s="5" t="s">
        <v>24</v>
      </c>
      <c r="B84" s="2">
        <f>(7*(B79+(B69/100)))^0.6*B82-B83</f>
        <v>31.915197862719907</v>
      </c>
      <c r="C84" s="2">
        <f>(7*(C79+(C69/100)))^0.6*C82-C83</f>
        <v>31.218550609224316</v>
      </c>
      <c r="D84" s="2">
        <f>(7*(D79+(D69/100)))^0.6*D82-D83</f>
        <v>18.896929951014286</v>
      </c>
      <c r="E84" s="2">
        <f>(7*(E79+(E69/100)))^0.6*E82-E83</f>
        <v>22.150894156340748</v>
      </c>
    </row>
    <row r="85" spans="1:5" ht="12.75">
      <c r="A85" s="5" t="s">
        <v>122</v>
      </c>
      <c r="B85" s="2">
        <f>(7*(B81+(B72/100)))^0.6*B82-B83</f>
        <v>58.00201527575958</v>
      </c>
      <c r="C85" s="2">
        <f>(7*(C81+(C72/100)))^0.6*C82-C83</f>
        <v>41.271227751609395</v>
      </c>
      <c r="D85" s="2">
        <f>(7*(D81+(D72/100)))^0.6*D82-D83</f>
        <v>58.352435972694806</v>
      </c>
      <c r="E85" s="2">
        <f>(7*(E81+(E72/100)))^0.6*E82-E83</f>
        <v>41.531524054157686</v>
      </c>
    </row>
    <row r="86" spans="1:5" ht="12.75">
      <c r="A86" s="5" t="s">
        <v>123</v>
      </c>
      <c r="B86" s="2">
        <f>1+(B12/B7)^(1/2)</f>
        <v>1.4472135954999579</v>
      </c>
      <c r="C86" s="2">
        <f>1+(C12/C7)^(1/2)</f>
        <v>1.4472135954999579</v>
      </c>
      <c r="D86" s="2">
        <f>1+(D12/D7)^(1/2)</f>
        <v>1.4472135954999579</v>
      </c>
      <c r="E86" s="2">
        <f>1+(E12/E7)^(1/2)</f>
        <v>1.4472135954999579</v>
      </c>
    </row>
    <row r="87" spans="1:5" ht="12.75">
      <c r="A87" s="5" t="s">
        <v>124</v>
      </c>
      <c r="B87" s="2">
        <f>100*(B84/B85)^B86</f>
        <v>42.123736183536785</v>
      </c>
      <c r="C87" s="2">
        <f>100*(C84/C85)^C86</f>
        <v>66.76480157758692</v>
      </c>
      <c r="D87" s="2">
        <f>100*(D84/D85)^D86</f>
        <v>19.558979563537534</v>
      </c>
      <c r="E87" s="2">
        <f>100*(E84/E85)^E86</f>
        <v>40.26521956917398</v>
      </c>
    </row>
    <row r="88" spans="1:5" ht="12.75">
      <c r="A88" s="5" t="s">
        <v>125</v>
      </c>
      <c r="B88" s="2">
        <f>2.44*B73^0.69*(B84/B85)^(B12/B7)*(1.64-0.29^(B12/B7))</f>
        <v>0.15576020764751417</v>
      </c>
      <c r="C88" s="2">
        <f>2.44*C73^0.69*(C84/C85)^(C12/C7)*(1.64-0.29^(C12/C7))</f>
        <v>63.89006312257692</v>
      </c>
      <c r="D88" s="2">
        <f>2.44*D73^0.69*(D84/D85)^(D12/D7)*(1.64-0.29^(D12/D7))</f>
        <v>74.57916393769563</v>
      </c>
      <c r="E88" s="2">
        <f>2.44*E73^0.69*(E84/E85)^(E12/E7)*(1.64-0.29^(E12/E7))</f>
        <v>73.83506337658874</v>
      </c>
    </row>
    <row r="89" spans="1:5" ht="12.75">
      <c r="A89" s="5" t="s">
        <v>126</v>
      </c>
      <c r="B89" s="2">
        <f>B29^0.15*B88</f>
        <v>0.1594217323506037</v>
      </c>
      <c r="C89" s="2">
        <f>C29^0.15*C88</f>
        <v>58.280642301037545</v>
      </c>
      <c r="D89" s="2">
        <f>D29^0.15*D88</f>
        <v>76.33232962242305</v>
      </c>
      <c r="E89" s="2">
        <f>E29^0.15*E88</f>
        <v>67.35249125782744</v>
      </c>
    </row>
    <row r="90" spans="1:5" ht="12.75">
      <c r="A90" s="5"/>
      <c r="B90" s="1"/>
      <c r="C90" s="1"/>
      <c r="D90" s="1"/>
      <c r="E90" s="1"/>
    </row>
    <row r="91" spans="1:2" ht="12.75">
      <c r="A91" s="5"/>
      <c r="B91" s="2"/>
    </row>
  </sheetData>
  <printOptions gridLines="1" headings="1" horizontalCentered="1" verticalCentered="1"/>
  <pageMargins left="0.75" right="0.75" top="1" bottom="1" header="0.5" footer="0.5"/>
  <pageSetup fitToHeight="1" fitToWidth="1" orientation="portrait" paperSize="9" scale="50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42"/>
  <sheetViews>
    <sheetView workbookViewId="0" topLeftCell="A14">
      <selection activeCell="B38" sqref="B38"/>
    </sheetView>
  </sheetViews>
  <sheetFormatPr defaultColWidth="11.00390625" defaultRowHeight="12.75"/>
  <sheetData>
    <row r="1" ht="15.75">
      <c r="A1" s="7" t="s">
        <v>127</v>
      </c>
    </row>
    <row r="2" spans="1:5" ht="12.75">
      <c r="A2" s="5"/>
      <c r="B2" s="6" t="s">
        <v>274</v>
      </c>
      <c r="C2" s="6" t="s">
        <v>275</v>
      </c>
      <c r="D2" s="6" t="s">
        <v>276</v>
      </c>
      <c r="E2" s="6" t="s">
        <v>277</v>
      </c>
    </row>
    <row r="3" spans="1:5" ht="12.75">
      <c r="A3" s="5" t="s">
        <v>278</v>
      </c>
      <c r="B3" s="2">
        <v>19.01</v>
      </c>
      <c r="C3">
        <v>57.06</v>
      </c>
      <c r="D3">
        <v>3.53</v>
      </c>
      <c r="E3">
        <v>19.01</v>
      </c>
    </row>
    <row r="4" spans="1:5" ht="12.75">
      <c r="A4" s="5" t="s">
        <v>279</v>
      </c>
      <c r="B4" s="2">
        <v>20</v>
      </c>
      <c r="C4">
        <v>43.06</v>
      </c>
      <c r="D4">
        <v>6.56</v>
      </c>
      <c r="E4" s="2">
        <v>20</v>
      </c>
    </row>
    <row r="5" spans="1:5" ht="12.75">
      <c r="A5" s="5" t="s">
        <v>280</v>
      </c>
      <c r="B5" s="2">
        <v>21.78</v>
      </c>
      <c r="C5">
        <v>31.96</v>
      </c>
      <c r="D5">
        <v>2.14</v>
      </c>
      <c r="E5">
        <v>21.78</v>
      </c>
    </row>
    <row r="6" spans="1:5" ht="12.75">
      <c r="A6" s="5" t="s">
        <v>281</v>
      </c>
      <c r="B6" s="2">
        <v>95.05</v>
      </c>
      <c r="C6">
        <v>95.05</v>
      </c>
      <c r="D6">
        <v>109.85</v>
      </c>
      <c r="E6">
        <v>109.85</v>
      </c>
    </row>
    <row r="7" spans="1:5" ht="12.75">
      <c r="A7" s="5" t="s">
        <v>282</v>
      </c>
      <c r="B7" s="2">
        <v>100</v>
      </c>
      <c r="C7" s="2">
        <v>100</v>
      </c>
      <c r="D7" s="2">
        <v>100</v>
      </c>
      <c r="E7" s="2">
        <v>100</v>
      </c>
    </row>
    <row r="8" spans="1:5" ht="12.75">
      <c r="A8" s="5" t="s">
        <v>283</v>
      </c>
      <c r="B8" s="2">
        <v>108.88</v>
      </c>
      <c r="C8">
        <v>108.88</v>
      </c>
      <c r="D8">
        <v>35.58</v>
      </c>
      <c r="E8">
        <v>35.58</v>
      </c>
    </row>
    <row r="9" spans="1:5" ht="12.75">
      <c r="A9" s="5" t="s">
        <v>128</v>
      </c>
      <c r="B9" s="2">
        <v>318.30988618379</v>
      </c>
      <c r="C9" s="2">
        <v>31.830988618379067</v>
      </c>
      <c r="D9" s="2">
        <v>318.3098861837907</v>
      </c>
      <c r="E9" s="2">
        <v>31.830988618379067</v>
      </c>
    </row>
    <row r="10" spans="1:5" ht="12.75">
      <c r="A10" s="5" t="s">
        <v>129</v>
      </c>
      <c r="B10" s="2">
        <f>1/2.3</f>
        <v>0.4347826086956522</v>
      </c>
      <c r="C10" s="2">
        <f>1/2.3</f>
        <v>0.4347826086956522</v>
      </c>
      <c r="D10" s="2">
        <f>1/2.3</f>
        <v>0.4347826086956522</v>
      </c>
      <c r="E10" s="2">
        <f>1/2.3</f>
        <v>0.4347826086956522</v>
      </c>
    </row>
    <row r="11" spans="1:5" ht="12.75">
      <c r="A11" s="5" t="s">
        <v>130</v>
      </c>
      <c r="B11" s="1">
        <v>1</v>
      </c>
      <c r="C11" s="1">
        <v>1</v>
      </c>
      <c r="D11" s="1">
        <v>1</v>
      </c>
      <c r="E11" s="1">
        <v>1</v>
      </c>
    </row>
    <row r="12" spans="1:5" ht="12.75">
      <c r="A12" s="5" t="s">
        <v>131</v>
      </c>
      <c r="B12" s="2">
        <f>0.3897*B3+0.689*B4-0.0787*B5</f>
        <v>19.474110999999997</v>
      </c>
      <c r="C12" s="2">
        <f>0.3897*C3+0.689*C4-0.0787*C5</f>
        <v>49.38937</v>
      </c>
      <c r="D12" s="2">
        <f>0.3897*D3+0.689*D4-0.0787*D5</f>
        <v>5.727062999999999</v>
      </c>
      <c r="E12" s="2">
        <f>0.3897*E3+0.689*E4-0.0787*E5</f>
        <v>19.474110999999997</v>
      </c>
    </row>
    <row r="13" spans="1:5" ht="12.75">
      <c r="A13" s="5" t="s">
        <v>46</v>
      </c>
      <c r="B13" s="2">
        <f>-0.2298*B3+1.1834*B4+0.0464*B5</f>
        <v>20.310093999999996</v>
      </c>
      <c r="C13" s="2">
        <f>-0.2298*C3+1.1834*C4+0.0464*C5</f>
        <v>39.327760000000005</v>
      </c>
      <c r="D13" s="2">
        <f>-0.2298*D3+1.1834*D4+0.0464*D5</f>
        <v>7.051206</v>
      </c>
      <c r="E13" s="2">
        <f>-0.2298*E3+1.1834*E4+0.0464*E5</f>
        <v>20.310093999999996</v>
      </c>
    </row>
    <row r="14" spans="1:5" ht="12.75">
      <c r="A14" s="5" t="s">
        <v>40</v>
      </c>
      <c r="B14" s="2">
        <f>B5</f>
        <v>21.78</v>
      </c>
      <c r="C14" s="2">
        <f>C5</f>
        <v>31.96</v>
      </c>
      <c r="D14" s="2">
        <f>D5</f>
        <v>2.14</v>
      </c>
      <c r="E14" s="2">
        <f>E5</f>
        <v>21.78</v>
      </c>
    </row>
    <row r="15" spans="1:5" ht="12.75">
      <c r="A15" s="5" t="s">
        <v>132</v>
      </c>
      <c r="B15" s="2">
        <f>0.3897*B6+0.689*B7-0.0787*B8</f>
        <v>97.37212899999999</v>
      </c>
      <c r="C15" s="2">
        <f>0.3897*C6+0.689*C7-0.0787*C8</f>
        <v>97.37212899999999</v>
      </c>
      <c r="D15" s="2">
        <f>0.3897*D6+0.689*D7-0.0787*D8</f>
        <v>108.90839899999999</v>
      </c>
      <c r="E15" s="2">
        <f>0.3897*E6+0.689*E7-0.0787*E8</f>
        <v>108.90839899999999</v>
      </c>
    </row>
    <row r="16" spans="1:5" ht="12.75">
      <c r="A16" s="5" t="s">
        <v>133</v>
      </c>
      <c r="B16" s="2">
        <f>-0.2298*B6+1.1834*B7+0.0464*B8</f>
        <v>101.549542</v>
      </c>
      <c r="C16" s="2">
        <f>-0.2298*C6+1.1834*C7+0.0464*C8</f>
        <v>101.549542</v>
      </c>
      <c r="D16" s="2">
        <f>-0.2298*D6+1.1834*D7+0.0464*D8</f>
        <v>94.74738200000002</v>
      </c>
      <c r="E16" s="2">
        <f>-0.2298*E6+1.1834*E7+0.0464*E8</f>
        <v>94.74738200000002</v>
      </c>
    </row>
    <row r="17" spans="1:5" ht="12.75">
      <c r="A17" s="5" t="s">
        <v>134</v>
      </c>
      <c r="B17" s="2">
        <f>B8</f>
        <v>108.88</v>
      </c>
      <c r="C17" s="2">
        <f>C8</f>
        <v>108.88</v>
      </c>
      <c r="D17" s="2">
        <f>D8</f>
        <v>35.58</v>
      </c>
      <c r="E17" s="2">
        <f>E8</f>
        <v>35.58</v>
      </c>
    </row>
    <row r="18" spans="1:5" ht="12.75">
      <c r="A18" s="5" t="s">
        <v>135</v>
      </c>
      <c r="B18" s="2">
        <f>(3*B15)/(B15+B16+B17)</f>
        <v>0.9490409394171222</v>
      </c>
      <c r="C18" s="2">
        <f>(3*C15)/(C15+C16+C17)</f>
        <v>0.9490409394171222</v>
      </c>
      <c r="D18" s="2">
        <f>(3*D15)/(D15+D16+D17)</f>
        <v>1.3657037238923722</v>
      </c>
      <c r="E18" s="2">
        <f>(3*E15)/(E15+E16+E17)</f>
        <v>1.3657037238923722</v>
      </c>
    </row>
    <row r="19" spans="1:5" ht="12.75">
      <c r="A19" s="5" t="s">
        <v>136</v>
      </c>
      <c r="B19" s="2">
        <f>(3*B16)/(B15+B16+B17)</f>
        <v>0.9897562446956307</v>
      </c>
      <c r="C19" s="2">
        <f>(3*C16)/(C15+C16+C17)</f>
        <v>0.9897562446956307</v>
      </c>
      <c r="D19" s="2">
        <f>(3*D16)/(D15+D16+D17)</f>
        <v>1.188125558860278</v>
      </c>
      <c r="E19" s="2">
        <f>(3*E16)/(E15+E16+E17)</f>
        <v>1.188125558860278</v>
      </c>
    </row>
    <row r="20" spans="1:5" ht="12.75">
      <c r="A20" s="5" t="s">
        <v>137</v>
      </c>
      <c r="B20" s="2">
        <f>(3*B17)/(B15+B16+B17)</f>
        <v>1.061202815887247</v>
      </c>
      <c r="C20" s="2">
        <f>(3*C17)/(C15+C16+C17)</f>
        <v>1.061202815887247</v>
      </c>
      <c r="D20" s="2">
        <f>(3*D17)/(D15+D16+D17)</f>
        <v>0.44617071724735025</v>
      </c>
      <c r="E20" s="2">
        <f>(3*E17)/(E15+E16+E17)</f>
        <v>0.44617071724735025</v>
      </c>
    </row>
    <row r="21" spans="1:5" ht="12.75">
      <c r="A21" s="5" t="s">
        <v>138</v>
      </c>
      <c r="B21" s="2">
        <f>(1+B9^(1/3)+B18)/(1+B9^(1/3)+(1/B18))</f>
        <v>0.9882166344942681</v>
      </c>
      <c r="C21" s="2">
        <f>(1+C9^(1/3)+C18)/(1+C9^(1/3)+(1/C18))</f>
        <v>0.9799623924751452</v>
      </c>
      <c r="D21" s="2">
        <f>(1+D9^(1/3)+D18)/(1+D9^(1/3)+(1/D18))</f>
        <v>1.0740041777396607</v>
      </c>
      <c r="E21" s="2">
        <f>(1+E9^(1/3)+E18)/(1+E9^(1/3)+(1/E18))</f>
        <v>1.129244116409423</v>
      </c>
    </row>
    <row r="22" spans="1:5" ht="12.75">
      <c r="A22" s="5" t="s">
        <v>139</v>
      </c>
      <c r="B22" s="2">
        <f>(1+B9^(1/3)+B19)/(1+B9^(1/3)+(1/B19))</f>
        <v>0.9976699380496911</v>
      </c>
      <c r="C22" s="2">
        <f>(1+C9^(1/3)+C19)/(1+C9^(1/3)+(1/C19))</f>
        <v>0.9960240714722928</v>
      </c>
      <c r="D22" s="2">
        <f>(1+D9^(1/3)+D19)/(1+D9^(1/3)+(1/D19))</f>
        <v>1.039963500899757</v>
      </c>
      <c r="E22" s="2">
        <f>(1+E9^(1/3)+E19)/(1+E9^(1/3)+(1/E19))</f>
        <v>1.0691424908846001</v>
      </c>
    </row>
    <row r="23" spans="1:5" ht="12.75">
      <c r="A23" s="5" t="s">
        <v>140</v>
      </c>
      <c r="B23" s="2">
        <f>(1+B9^(1/3)+B20)/(1+B9^(1/3)+(1/B20))</f>
        <v>1.013554573161665</v>
      </c>
      <c r="C23" s="2">
        <f>(1+C9^(1/3)+C20)/(1+C9^(1/3)+(1/C20))</f>
        <v>1.0232564187475865</v>
      </c>
      <c r="D23" s="2">
        <f>(1+D9^(1/3)+D20)/(1+D9^(1/3)+(1/D20))</f>
        <v>0.8217201571088265</v>
      </c>
      <c r="E23" s="2">
        <f>(1+E9^(1/3)+E20)/(1+E9^(1/3)+(1/E20))</f>
        <v>0.7199712103090536</v>
      </c>
    </row>
    <row r="24" spans="1:5" ht="12.75">
      <c r="A24" s="5" t="s">
        <v>141</v>
      </c>
      <c r="B24" s="10">
        <f>(B21+B11*(1-B21))/B15</f>
        <v>0.010269879176617367</v>
      </c>
      <c r="C24" s="10">
        <f>(C21+C11*(1-C21))/C15</f>
        <v>0.010269879176617367</v>
      </c>
      <c r="D24" s="10">
        <f>(D21+D11*(1-D21))/D15</f>
        <v>0.009182028284154651</v>
      </c>
      <c r="E24" s="10">
        <f>(E21+E11*(1-E21))/E15</f>
        <v>0.009182028284154651</v>
      </c>
    </row>
    <row r="25" spans="1:5" ht="12.75">
      <c r="A25" s="5" t="s">
        <v>142</v>
      </c>
      <c r="B25" s="10">
        <f>(B22+B11*(1-B22))/B16</f>
        <v>0.009847410242381989</v>
      </c>
      <c r="C25" s="10">
        <f>(C22+C11*(1-C22))/C16</f>
        <v>0.009847410242381989</v>
      </c>
      <c r="D25" s="10">
        <f>(D22+D11*(1-D22))/D16</f>
        <v>0.010554381333723816</v>
      </c>
      <c r="E25" s="10">
        <f>(E22+E11*(1-E22))/E16</f>
        <v>0.010554381333723816</v>
      </c>
    </row>
    <row r="26" spans="1:5" ht="12.75">
      <c r="A26" s="5" t="s">
        <v>143</v>
      </c>
      <c r="B26" s="10">
        <f>(B23+B11*(1-B23))/B17</f>
        <v>0.009184423218221896</v>
      </c>
      <c r="C26" s="10">
        <f>(C23+C11*(1-C23))/C17</f>
        <v>0.009184423218221896</v>
      </c>
      <c r="D26" s="10">
        <f>(D23+D11*(1-D23))/D17</f>
        <v>0.028105677346824058</v>
      </c>
      <c r="E26" s="10">
        <f>(E23+E11*(1-E23))/E17</f>
        <v>0.028105677346824058</v>
      </c>
    </row>
    <row r="27" spans="1:5" ht="12.75">
      <c r="A27" s="5" t="s">
        <v>144</v>
      </c>
      <c r="B27" s="3">
        <f>B24*B12</f>
        <v>0.1999967670420352</v>
      </c>
      <c r="C27" s="3">
        <f>C24*C12</f>
        <v>0.5072228625092505</v>
      </c>
      <c r="D27" s="3">
        <f>D24*D12</f>
        <v>0.05258605445113558</v>
      </c>
      <c r="E27" s="3">
        <f>E24*E12</f>
        <v>0.1788118380107672</v>
      </c>
    </row>
    <row r="28" spans="1:5" ht="12.75">
      <c r="A28" s="5" t="s">
        <v>145</v>
      </c>
      <c r="B28" s="3">
        <f aca="true" t="shared" si="0" ref="B28:E29">B25*B13</f>
        <v>0.20000182767934094</v>
      </c>
      <c r="C28" s="3">
        <f t="shared" si="0"/>
        <v>0.3872765866339407</v>
      </c>
      <c r="D28" s="3">
        <f t="shared" si="0"/>
        <v>0.07442111698664138</v>
      </c>
      <c r="E28" s="3">
        <f t="shared" si="0"/>
        <v>0.21436047699977603</v>
      </c>
    </row>
    <row r="29" spans="1:5" ht="12.75">
      <c r="A29" s="5" t="s">
        <v>146</v>
      </c>
      <c r="B29" s="3">
        <f t="shared" si="0"/>
        <v>0.20003673769287292</v>
      </c>
      <c r="C29" s="3">
        <f t="shared" si="0"/>
        <v>0.2935341660543718</v>
      </c>
      <c r="D29" s="3">
        <f t="shared" si="0"/>
        <v>0.060146149522203485</v>
      </c>
      <c r="E29" s="3">
        <f t="shared" si="0"/>
        <v>0.612141652613828</v>
      </c>
    </row>
    <row r="30" spans="1:5" ht="12.75">
      <c r="A30" s="5" t="s">
        <v>153</v>
      </c>
      <c r="B30" s="3">
        <f>1.9569*B27-1.1882*B28+0.2313*B29</f>
        <v>0.19999999920432732</v>
      </c>
      <c r="C30" s="3">
        <f>1.9569*C27-1.1882*C28+0.2313*C29</f>
        <v>0.6003168320142803</v>
      </c>
      <c r="D30" s="3">
        <f>1.9569*D27-1.1882*D28+0.2313*D29</f>
        <v>0.028390283136385613</v>
      </c>
      <c r="E30" s="3">
        <f>1.9569*E27-1.1882*E28+0.2313*E29</f>
        <v>0.2368021312817149</v>
      </c>
    </row>
    <row r="31" spans="1:5" ht="12.75">
      <c r="A31" s="5" t="s">
        <v>154</v>
      </c>
      <c r="B31" s="3">
        <f>0.3612*B27+0.6388*B28</f>
        <v>0.1999999997771461</v>
      </c>
      <c r="C31" s="3">
        <f>0.3612*C27+0.6388*C28</f>
        <v>0.4306011814801026</v>
      </c>
      <c r="D31" s="3">
        <f>0.3612*D27+0.6388*D28</f>
        <v>0.06653429239881668</v>
      </c>
      <c r="E31" s="3">
        <f>0.3612*E27+0.6388*E28</f>
        <v>0.20152030859694603</v>
      </c>
    </row>
    <row r="32" spans="1:5" ht="12.75">
      <c r="A32" s="5" t="s">
        <v>155</v>
      </c>
      <c r="B32" s="3">
        <f>B29</f>
        <v>0.20003673769287292</v>
      </c>
      <c r="C32" s="3">
        <f>C29</f>
        <v>0.2935341660543718</v>
      </c>
      <c r="D32" s="3">
        <f>D29</f>
        <v>0.060146149522203485</v>
      </c>
      <c r="E32" s="3">
        <f>E29</f>
        <v>0.612141652613828</v>
      </c>
    </row>
    <row r="33" spans="1:5" ht="12.75">
      <c r="A33" s="5" t="s">
        <v>156</v>
      </c>
      <c r="B33" s="2">
        <f>100*B31^B10</f>
        <v>49.67066768266355</v>
      </c>
      <c r="C33" s="2">
        <f>100*C31^C10</f>
        <v>69.32697781205842</v>
      </c>
      <c r="D33" s="2">
        <f>100*D31^D10</f>
        <v>30.78085440260333</v>
      </c>
      <c r="E33" s="2">
        <f>100*E31^E10</f>
        <v>49.83447891963286</v>
      </c>
    </row>
    <row r="34" spans="1:5" ht="12.75">
      <c r="A34" s="5" t="s">
        <v>157</v>
      </c>
      <c r="B34" s="2">
        <f>430*(B30^B10-B31^B10)</f>
        <v>-2.6596709057358225E-07</v>
      </c>
      <c r="C34" s="2">
        <f>430*(C30^C10-C31^C10)</f>
        <v>46.332868881114194</v>
      </c>
      <c r="D34" s="2">
        <f>430*(D30^D10-D31^D10)</f>
        <v>-40.96033466254476</v>
      </c>
      <c r="E34" s="2">
        <f>430*(E30^E10-E31^E10)</f>
        <v>15.571103039845768</v>
      </c>
    </row>
    <row r="35" spans="1:5" ht="12.75">
      <c r="A35" s="5" t="s">
        <v>158</v>
      </c>
      <c r="B35" s="2">
        <f>170*(B31^B10-B32^B10)</f>
        <v>-0.006743464227841334</v>
      </c>
      <c r="C35" s="2">
        <f>170*(C31^C10-C32^C10)</f>
        <v>18.086737092904308</v>
      </c>
      <c r="D35" s="2">
        <f>170*(D31^D10-D32^D10)</f>
        <v>2.2468301736231213</v>
      </c>
      <c r="E35" s="2">
        <f>170*(E31^E10-E32^E10)</f>
        <v>-52.61468339853796</v>
      </c>
    </row>
    <row r="36" spans="1:5" ht="12.75">
      <c r="A36" s="5" t="s">
        <v>159</v>
      </c>
      <c r="B36" s="2">
        <f>SQRT(B34^2+B35^2)</f>
        <v>0.0067434642330863005</v>
      </c>
      <c r="C36" s="2">
        <f>SQRT(C34^2+C35^2)</f>
        <v>49.73796133158616</v>
      </c>
      <c r="D36" s="2">
        <f>SQRT(D34^2+D35^2)</f>
        <v>41.02191196783457</v>
      </c>
      <c r="E36" s="2">
        <f>SQRT(E34^2+E35^2)</f>
        <v>54.87043064352494</v>
      </c>
    </row>
    <row r="37" spans="1:5" ht="12.75">
      <c r="A37" s="5" t="s">
        <v>160</v>
      </c>
      <c r="B37" s="2">
        <f>B36/B33</f>
        <v>0.0001357635108947802</v>
      </c>
      <c r="C37" s="2">
        <f>C36/C33</f>
        <v>0.7174402072801012</v>
      </c>
      <c r="D37" s="2">
        <f>D36/D33</f>
        <v>1.3327086841476723</v>
      </c>
      <c r="E37" s="2">
        <f>E36/E33</f>
        <v>1.101053564380867</v>
      </c>
    </row>
    <row r="38" spans="1:5" ht="12.75">
      <c r="A38" s="5" t="s">
        <v>161</v>
      </c>
      <c r="B38" s="1">
        <f>IF(B35&gt;=0,(360/(2*PI()))*ATAN2(B34,B35),360+(360/(2*PI()))*ATAN2(B34,B35))</f>
        <v>269.9977402131521</v>
      </c>
      <c r="C38" s="1">
        <f>IF(C35&gt;=0,(360/(2*PI()))*ATAN2(C34,C35),360+(360/(2*PI()))*ATAN2(C34,C35))</f>
        <v>21.323940633862073</v>
      </c>
      <c r="D38" s="1">
        <f>IF(D35&gt;=0,(360/(2*PI()))*ATAN2(D34,D35),360+(360/(2*PI()))*ATAN2(D34,D35))</f>
        <v>176.86025511291987</v>
      </c>
      <c r="E38" s="1">
        <f>IF(E35&gt;=0,(360/(2*PI()))*ATAN2(E34,E35),360+(360/(2*PI()))*ATAN2(E34,E35))</f>
        <v>286.48590687987985</v>
      </c>
    </row>
    <row r="39" spans="1:5" ht="12.75">
      <c r="A39" s="5" t="s">
        <v>162</v>
      </c>
      <c r="B39" s="9">
        <f>IF(B38&gt;246,(B38-246)*(100/138),IF(B38&lt;24,(B38+114)*(100/138),IF(B38&lt;90,(90-B38)*(100/66),0)))</f>
        <v>17.38966682112471</v>
      </c>
      <c r="C39" s="9">
        <f>IF(C38&gt;246,(C38-246)*(100/138),IF(C38&lt;24,(C38+114)*(100/138),IF(C38&lt;90,(90-C38)*(100/66),0)))</f>
        <v>98.06082654627686</v>
      </c>
      <c r="D39" s="9">
        <f>IF(D38&gt;246,(D38-246)*(100/138),IF(D38&lt;24,(D38+114)*(100/138),IF(D38&lt;90,(90-D38)*(100/66),0)))</f>
        <v>0</v>
      </c>
      <c r="E39" s="9">
        <f>IF(E38&gt;246,(E38-246)*(100/138),IF(E38&lt;24,(E38+114)*(100/138),IF(E38&lt;90,(90-E38)*(100/66),0)))</f>
        <v>29.337613681072355</v>
      </c>
    </row>
    <row r="40" spans="1:5" ht="12.75">
      <c r="A40" s="5" t="s">
        <v>163</v>
      </c>
      <c r="B40" s="9">
        <f>IF(B38&lt;24,0,IF(B38&lt;=90,(B38-24)*(100/66),IF(B38&lt;163,(162-B38-90)*(100/72),0)))</f>
        <v>0</v>
      </c>
      <c r="C40" s="9">
        <f>IF(C38&lt;24,0,IF(C38&lt;=90,(C38-24)*(100/66),IF(C38&lt;163,(162-C38-90)*(100/72),0)))</f>
        <v>0</v>
      </c>
      <c r="D40" s="9">
        <f>IF(D38&lt;24,0,IF(D38&lt;=90,(D38-24)*(100/66),IF(D38&lt;163,(162-D38-90)*(100/72),0)))</f>
        <v>0</v>
      </c>
      <c r="E40" s="9">
        <f>IF(E38&lt;24,0,IF(E38&lt;=90,(E38-24)*(100/66),IF(E38&lt;163,(162-E38-90)*(100/72),0)))</f>
        <v>0</v>
      </c>
    </row>
    <row r="41" spans="1:5" ht="12.75">
      <c r="A41" s="5" t="s">
        <v>164</v>
      </c>
      <c r="B41" s="9">
        <f>IF(B38&lt;90,0,IF(B38&lt;=162,(B38-90)*(100/72),IF(B38&lt;246,(246-B38)*(100/94),0)))</f>
        <v>0</v>
      </c>
      <c r="C41" s="9">
        <f>IF(C38&lt;90,0,IF(C38&lt;=162,(C38-90)*(100/72),IF(C38&lt;246,(246-C38)*(100/94),0)))</f>
        <v>0</v>
      </c>
      <c r="D41" s="9">
        <f>IF(D38&lt;90,0,IF(D38&lt;=162,(D38-90)*(100/72),IF(D38&lt;246,(246-D38)*(100/94),0)))</f>
        <v>73.55292009263843</v>
      </c>
      <c r="E41" s="9">
        <f>IF(E38&lt;90,0,IF(E38&lt;=162,(E38-90)*(100/72),IF(E38&lt;246,(246-E38)*(100/94),0)))</f>
        <v>0</v>
      </c>
    </row>
    <row r="42" spans="1:5" ht="12.75">
      <c r="A42" s="5" t="s">
        <v>165</v>
      </c>
      <c r="B42" s="9">
        <f>IF(B38&gt;246,(360-B38+24)*(100/138),IF(B38&gt;162,(B38-162)*(100/94),IF(B38&lt;24,(24-B38)*(100/138))))</f>
        <v>82.6103331788753</v>
      </c>
      <c r="C42" s="9">
        <f>IF(C38&gt;246,(360-C38+24)*(100/138),IF(C38&gt;162,(C38-162)*(100/94),IF(C38&lt;24,(24-C38)*(100/138))))</f>
        <v>1.9391734537231358</v>
      </c>
      <c r="D42" s="9">
        <f>IF(D38&gt;246,(360-D38+24)*(100/138),IF(D38&gt;162,(D38-162)*(100/94),IF(D38&lt;24,(24-D38)*(100/138))))</f>
        <v>15.80878203502114</v>
      </c>
      <c r="E42" s="9">
        <f>IF(E38&gt;246,(360-E38+24)*(100/138),IF(E38&gt;162,(E38-162)*(100/94),IF(E38&lt;24,(24-E38)*(100/138))))</f>
        <v>70.66238631892764</v>
      </c>
    </row>
  </sheetData>
  <printOptions gridLines="1" heading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42"/>
  <sheetViews>
    <sheetView workbookViewId="0" topLeftCell="A1">
      <selection activeCell="G26" sqref="G26"/>
    </sheetView>
  </sheetViews>
  <sheetFormatPr defaultColWidth="11.00390625" defaultRowHeight="12.75"/>
  <sheetData>
    <row r="1" ht="15.75">
      <c r="A1" s="7" t="s">
        <v>166</v>
      </c>
    </row>
    <row r="2" spans="1:5" ht="12.75">
      <c r="A2" s="5"/>
      <c r="B2" s="6" t="s">
        <v>274</v>
      </c>
      <c r="C2" s="6" t="s">
        <v>275</v>
      </c>
      <c r="D2" s="6" t="s">
        <v>276</v>
      </c>
      <c r="E2" s="6" t="s">
        <v>277</v>
      </c>
    </row>
    <row r="3" spans="1:5" ht="12.75">
      <c r="A3" s="5" t="s">
        <v>278</v>
      </c>
      <c r="B3" s="2">
        <v>19.01</v>
      </c>
      <c r="C3">
        <v>57.06</v>
      </c>
      <c r="D3">
        <v>3.53</v>
      </c>
      <c r="E3">
        <v>19.01</v>
      </c>
    </row>
    <row r="4" spans="1:5" ht="12.75">
      <c r="A4" s="5" t="s">
        <v>279</v>
      </c>
      <c r="B4" s="2">
        <v>20</v>
      </c>
      <c r="C4">
        <v>43.06</v>
      </c>
      <c r="D4">
        <v>6.56</v>
      </c>
      <c r="E4" s="2">
        <v>20</v>
      </c>
    </row>
    <row r="5" spans="1:5" ht="12.75">
      <c r="A5" s="5" t="s">
        <v>280</v>
      </c>
      <c r="B5" s="2">
        <v>21.78</v>
      </c>
      <c r="C5">
        <v>31.96</v>
      </c>
      <c r="D5">
        <v>2.14</v>
      </c>
      <c r="E5">
        <v>21.78</v>
      </c>
    </row>
    <row r="6" spans="1:5" ht="12.75">
      <c r="A6" s="5" t="s">
        <v>167</v>
      </c>
      <c r="B6" s="2">
        <v>95.05</v>
      </c>
      <c r="C6">
        <v>95.05</v>
      </c>
      <c r="D6">
        <v>109.85</v>
      </c>
      <c r="E6">
        <v>109.85</v>
      </c>
    </row>
    <row r="7" spans="1:5" ht="12.75">
      <c r="A7" s="5" t="s">
        <v>1</v>
      </c>
      <c r="B7" s="2">
        <v>100</v>
      </c>
      <c r="C7" s="2">
        <v>100</v>
      </c>
      <c r="D7" s="2">
        <v>100</v>
      </c>
      <c r="E7" s="2">
        <v>100</v>
      </c>
    </row>
    <row r="8" spans="1:5" ht="12.75">
      <c r="A8" s="5" t="s">
        <v>168</v>
      </c>
      <c r="B8" s="2">
        <v>108.88</v>
      </c>
      <c r="C8">
        <v>108.88</v>
      </c>
      <c r="D8">
        <v>35.58</v>
      </c>
      <c r="E8">
        <v>35.58</v>
      </c>
    </row>
    <row r="9" spans="1:5" ht="12.75">
      <c r="A9" s="5" t="s">
        <v>169</v>
      </c>
      <c r="B9" s="2">
        <v>318.30988618379</v>
      </c>
      <c r="C9" s="2">
        <v>31.830988618379067</v>
      </c>
      <c r="D9" s="2">
        <v>318.3098861837907</v>
      </c>
      <c r="E9" s="2">
        <v>31.830988618379067</v>
      </c>
    </row>
    <row r="10" spans="1:5" ht="12.75">
      <c r="A10" s="5" t="s">
        <v>129</v>
      </c>
      <c r="B10" s="9">
        <v>300</v>
      </c>
      <c r="C10" s="9">
        <v>300</v>
      </c>
      <c r="D10" s="9">
        <v>300</v>
      </c>
      <c r="E10" s="9">
        <v>300</v>
      </c>
    </row>
    <row r="11" spans="1:5" ht="12.75">
      <c r="A11" s="5" t="s">
        <v>170</v>
      </c>
      <c r="B11" s="1">
        <v>0</v>
      </c>
      <c r="C11" s="1">
        <v>0</v>
      </c>
      <c r="D11" s="1">
        <v>0</v>
      </c>
      <c r="E11" s="1">
        <v>0</v>
      </c>
    </row>
    <row r="12" spans="1:5" ht="12.75">
      <c r="A12" s="5" t="s">
        <v>171</v>
      </c>
      <c r="B12" s="1">
        <v>50</v>
      </c>
      <c r="C12" s="1">
        <v>50</v>
      </c>
      <c r="D12" s="1">
        <v>50</v>
      </c>
      <c r="E12" s="1">
        <v>50</v>
      </c>
    </row>
    <row r="13" spans="1:5" ht="12.75">
      <c r="A13" s="5" t="s">
        <v>172</v>
      </c>
      <c r="B13" s="1">
        <f>18*((B3/100)*B$9)^0.8</f>
        <v>479.4444552946754</v>
      </c>
      <c r="C13" s="1">
        <f>18*((C3/100)*C$9)^0.8</f>
        <v>183.0703537798224</v>
      </c>
      <c r="D13" s="1">
        <f>18*((D3/100)*D$9)^0.8</f>
        <v>124.67298887579905</v>
      </c>
      <c r="E13" s="1">
        <f>18*((E3/100)*E$9)^0.8</f>
        <v>75.98682533597591</v>
      </c>
    </row>
    <row r="14" spans="1:5" ht="12.75">
      <c r="A14" s="5" t="s">
        <v>173</v>
      </c>
      <c r="B14" s="1">
        <f aca="true" t="shared" si="0" ref="B14:E15">18*((B4/100)*B$9)^0.8</f>
        <v>499.3172885360962</v>
      </c>
      <c r="C14" s="1">
        <f t="shared" si="0"/>
        <v>146.15437743465665</v>
      </c>
      <c r="D14" s="1">
        <f t="shared" si="0"/>
        <v>204.68012731914345</v>
      </c>
      <c r="E14" s="1">
        <f t="shared" si="0"/>
        <v>79.13645714790016</v>
      </c>
    </row>
    <row r="15" spans="1:5" ht="12.75">
      <c r="A15" s="5" t="s">
        <v>174</v>
      </c>
      <c r="B15" s="1">
        <f t="shared" si="0"/>
        <v>534.5630143962329</v>
      </c>
      <c r="C15" s="1">
        <f t="shared" si="0"/>
        <v>115.14312801488059</v>
      </c>
      <c r="D15" s="1">
        <f t="shared" si="0"/>
        <v>83.53791384594216</v>
      </c>
      <c r="E15" s="1">
        <f t="shared" si="0"/>
        <v>84.72252824580838</v>
      </c>
    </row>
    <row r="16" spans="1:5" ht="12.75">
      <c r="A16" s="5" t="s">
        <v>175</v>
      </c>
      <c r="B16" s="9">
        <f>B$12*(18*((B6/100)*B$9)^0.8)+B$11*B13</f>
        <v>86872.89776515271</v>
      </c>
      <c r="C16" s="9">
        <f>C$12*(18*((C6/100)*C$9)^0.8)+C$11*C13</f>
        <v>13768.426427736102</v>
      </c>
      <c r="D16" s="9">
        <f>D$12*(18*((D6/100)*D$9)^0.8)+D$11*D13</f>
        <v>97535.4877908711</v>
      </c>
      <c r="E16" s="9">
        <f>E$12*(18*((E6/100)*E$9)^0.8)+E$11*E13</f>
        <v>15458.333062312577</v>
      </c>
    </row>
    <row r="17" spans="1:5" ht="12.75">
      <c r="A17" s="5" t="s">
        <v>176</v>
      </c>
      <c r="B17" s="9">
        <f aca="true" t="shared" si="1" ref="B17:E18">B$12*(18*((B7/100)*B$9)^0.8)+B$11*B14</f>
        <v>90473.7541134127</v>
      </c>
      <c r="C17" s="9">
        <f t="shared" si="1"/>
        <v>14339.123699074864</v>
      </c>
      <c r="D17" s="9">
        <f t="shared" si="1"/>
        <v>90473.75411341278</v>
      </c>
      <c r="E17" s="9">
        <f t="shared" si="1"/>
        <v>14339.123699074864</v>
      </c>
    </row>
    <row r="18" spans="1:5" ht="12.75">
      <c r="A18" s="5" t="s">
        <v>177</v>
      </c>
      <c r="B18" s="9">
        <f t="shared" si="1"/>
        <v>96845.86913337275</v>
      </c>
      <c r="C18" s="9">
        <f t="shared" si="1"/>
        <v>15349.035870746258</v>
      </c>
      <c r="D18" s="9">
        <f t="shared" si="1"/>
        <v>39581.05504562337</v>
      </c>
      <c r="E18" s="9">
        <f t="shared" si="1"/>
        <v>6273.174469223708</v>
      </c>
    </row>
    <row r="19" spans="1:5" ht="12.75">
      <c r="A19" s="5" t="s">
        <v>131</v>
      </c>
      <c r="B19" s="2">
        <f>(0.66*(0.2435*B13+0.8524*B14-0.0516*B15))^0.7+0.024</f>
        <v>59.15504104421083</v>
      </c>
      <c r="C19" s="2">
        <f>(0.66*(0.2435*C13+0.8524*C14-0.0516*C15))^0.7+0.024</f>
        <v>26.485766492752024</v>
      </c>
      <c r="D19" s="2">
        <f>(0.66*(0.2435*D13+0.8524*D14-0.0516*D15))^0.7+0.024</f>
        <v>30.5863027590227</v>
      </c>
      <c r="E19" s="2">
        <f>(0.66*(0.2435*E13+0.8524*E14-0.0516*E15))^0.7+0.024</f>
        <v>16.310041050223287</v>
      </c>
    </row>
    <row r="20" spans="1:5" ht="12.75">
      <c r="A20" s="5" t="s">
        <v>46</v>
      </c>
      <c r="B20" s="2">
        <f>(1*(-0.3954*B13+1.1642*B14+0.0837*B15))^0.7+0.036</f>
        <v>70.5007800484597</v>
      </c>
      <c r="C20" s="2">
        <f>(1*(-0.3954*C13+1.1642*C14+0.0837*C15))^0.7+0.036</f>
        <v>26.442778205511768</v>
      </c>
      <c r="D20" s="2">
        <f>(1*(-0.3954*D13+1.1642*D14+0.0837*D15))^0.7+0.036</f>
        <v>40.26655523248467</v>
      </c>
      <c r="E20" s="2">
        <f>(1*(-0.3954*E13+1.1642*E14+0.0837*E15))^0.7+0.036</f>
        <v>19.443611978387846</v>
      </c>
    </row>
    <row r="21" spans="1:5" ht="12.75">
      <c r="A21" s="5" t="s">
        <v>40</v>
      </c>
      <c r="B21" s="2">
        <f>(0.43*(0.04*B14+0.6225*B15))^0.7+0.31</f>
        <v>33.93363305314767</v>
      </c>
      <c r="C21" s="2">
        <f>(0.43*(0.04*C14+0.6225*C15))^0.7+0.31</f>
        <v>11.952022263630287</v>
      </c>
      <c r="D21" s="2">
        <f>(0.43*(0.04*D14+0.6225*D15))^0.7+0.31</f>
        <v>10.061978138094231</v>
      </c>
      <c r="E21" s="2">
        <f>(0.43*(0.04*E14+0.6225*E15))^0.7+0.31</f>
        <v>9.570717526548943</v>
      </c>
    </row>
    <row r="22" spans="1:5" ht="12.75">
      <c r="A22" s="5" t="s">
        <v>144</v>
      </c>
      <c r="B22" s="9">
        <f>(0.66*(0.2435*B16+0.8524*B17-0.0516*B18))^0.7+0.024</f>
        <v>2251.7737539254217</v>
      </c>
      <c r="C22" s="9">
        <f>(0.66*(0.2435*C16+0.8524*C17-0.0516*C18))^0.7+0.024</f>
        <v>620.2073804996049</v>
      </c>
      <c r="D22" s="9">
        <f>(0.66*(0.2435*D16+0.8524*D17-0.0516*D18))^0.7+0.024</f>
        <v>2344.764146792862</v>
      </c>
      <c r="E22" s="9">
        <f>(0.66*(0.2435*E16+0.8524*E17-0.0516*E18))^0.7+0.024</f>
        <v>645.8190614166241</v>
      </c>
    </row>
    <row r="23" spans="1:5" ht="12.75">
      <c r="A23" s="5" t="s">
        <v>145</v>
      </c>
      <c r="B23" s="9">
        <f>(1*(-0.3954*B16+1.1642*B17+0.0837*B18))^0.7+0.036</f>
        <v>2683.3390687056103</v>
      </c>
      <c r="C23" s="9">
        <f>(1*(-0.3954*C16+1.1642*C17+0.0837*C18))^0.7+0.036</f>
        <v>739.0790331584388</v>
      </c>
      <c r="D23" s="9">
        <f>(1*(-0.3954*D16+1.1642*D17+0.0837*D18))^0.7+0.036</f>
        <v>2465.5224550414</v>
      </c>
      <c r="E23" s="9">
        <f>(1*(-0.3954*E16+1.1642*E17+0.0837*E18))^0.7+0.036</f>
        <v>679.0873562166494</v>
      </c>
    </row>
    <row r="24" spans="1:5" ht="12.75">
      <c r="A24" s="5" t="s">
        <v>146</v>
      </c>
      <c r="B24" s="9">
        <f>(0.43*(0.04*B17+0.6225*B18))^0.7+0.31</f>
        <v>1280.589237447673</v>
      </c>
      <c r="C24" s="9">
        <f>(0.43*(0.04*C17+0.6225*C18))^0.7+0.31</f>
        <v>352.92818240662814</v>
      </c>
      <c r="D24" s="9">
        <f>(0.43*(0.04*D17+0.6225*D18))^0.7+0.31</f>
        <v>723.4603516912566</v>
      </c>
      <c r="E24" s="9">
        <f>(0.43*(0.04*E17+0.6225*E18))^0.7+0.31</f>
        <v>199.4821455457149</v>
      </c>
    </row>
    <row r="25" spans="1:5" ht="12.75">
      <c r="A25" s="5" t="s">
        <v>178</v>
      </c>
      <c r="B25" s="3">
        <f>B19*(B10/(B10+B22))</f>
        <v>6.95457905935571</v>
      </c>
      <c r="C25" s="3">
        <f>C19*(C10/(C10+C22))</f>
        <v>8.634716604328538</v>
      </c>
      <c r="D25" s="3">
        <f>D19*(D10/(D10+D22))</f>
        <v>3.469455240019732</v>
      </c>
      <c r="E25" s="3">
        <f>E19*(E10/(E10+E22))</f>
        <v>5.173306940693661</v>
      </c>
    </row>
    <row r="26" spans="1:5" ht="12.75">
      <c r="A26" s="5" t="s">
        <v>179</v>
      </c>
      <c r="B26" s="3">
        <f>B20*(B10/(B10+B23))</f>
        <v>7.089450286223892</v>
      </c>
      <c r="C26" s="3">
        <f>C20*(C10/(C10+C23))</f>
        <v>7.634485162827774</v>
      </c>
      <c r="D26" s="3">
        <f>D20*(D10/(D10+D23))</f>
        <v>4.36805947741421</v>
      </c>
      <c r="E26" s="3">
        <f>E20*(E10/(E10+E23))</f>
        <v>5.957674314227001</v>
      </c>
    </row>
    <row r="27" spans="1:5" ht="12.75">
      <c r="A27" s="5" t="s">
        <v>180</v>
      </c>
      <c r="B27" s="3">
        <f>B21*(B10/(B10+B24))</f>
        <v>6.440692923091806</v>
      </c>
      <c r="C27" s="3">
        <f>C21*(C10/(C10+C24))</f>
        <v>5.491578975612444</v>
      </c>
      <c r="D27" s="3">
        <f>D21*(D10/(D10+D24))</f>
        <v>2.9493994920663784</v>
      </c>
      <c r="E27" s="3">
        <f>E21*(E10/(E10+E24))</f>
        <v>5.7483841686226915</v>
      </c>
    </row>
    <row r="28" spans="1:5" ht="12.75">
      <c r="A28" s="5" t="s">
        <v>181</v>
      </c>
      <c r="B28" s="2">
        <f>3.57*B25+2.64*B26</f>
        <v>43.543995997530956</v>
      </c>
      <c r="C28" s="2">
        <f>3.57*C25+2.64*C26</f>
        <v>50.980979107318205</v>
      </c>
      <c r="D28" s="2">
        <f>3.57*D25+2.64*D26</f>
        <v>23.917632227243956</v>
      </c>
      <c r="E28" s="2">
        <f>3.57*E25+2.64*E26</f>
        <v>34.19696596783565</v>
      </c>
    </row>
    <row r="29" spans="1:5" ht="12.75">
      <c r="A29" s="5" t="s">
        <v>182</v>
      </c>
      <c r="B29" s="2">
        <f>7.18*B25-6.21*B26</f>
        <v>5.908391368723628</v>
      </c>
      <c r="C29" s="2">
        <f>7.18*C25-6.21*C26</f>
        <v>14.587112357918429</v>
      </c>
      <c r="D29" s="2">
        <f>7.18*D25-6.21*D26</f>
        <v>-2.21496073140057</v>
      </c>
      <c r="E29" s="2">
        <f>7.18*E25-6.21*E26</f>
        <v>0.1471863428308069</v>
      </c>
    </row>
    <row r="30" spans="1:5" ht="12.75">
      <c r="A30" s="5" t="s">
        <v>183</v>
      </c>
      <c r="B30" s="2">
        <f>-0.7*B25+0.085*B26+1*B27</f>
        <v>2.17509085587184</v>
      </c>
      <c r="C30" s="2">
        <f>-0.7*C25+0.085*C26+1*C27</f>
        <v>0.0962085914228279</v>
      </c>
      <c r="D30" s="2">
        <f>-0.7*D25+0.085*D26+1*D27</f>
        <v>0.8920658796327738</v>
      </c>
      <c r="E30" s="2">
        <f>-0.7*E25+0.085*E26+1*E27</f>
        <v>2.633471626846424</v>
      </c>
    </row>
    <row r="31" spans="1:5" ht="12.75">
      <c r="A31" s="5" t="s">
        <v>184</v>
      </c>
      <c r="B31" s="2">
        <f>0.09*B28</f>
        <v>3.918959639777786</v>
      </c>
      <c r="C31" s="2">
        <f>0.09*C28</f>
        <v>4.588288119658638</v>
      </c>
      <c r="D31" s="2">
        <f>0.09*D28</f>
        <v>2.152586900451956</v>
      </c>
      <c r="E31" s="2">
        <f>0.09*E28</f>
        <v>3.0777269371052087</v>
      </c>
    </row>
    <row r="32" spans="1:5" ht="12.75">
      <c r="A32" s="5" t="s">
        <v>185</v>
      </c>
      <c r="B32" s="2">
        <f>0.43*B29+0.76*B30</f>
        <v>4.1936773390137585</v>
      </c>
      <c r="C32" s="2">
        <f>0.43*C29+0.76*C30</f>
        <v>6.345576843386274</v>
      </c>
      <c r="D32" s="2">
        <f>0.43*D29+0.76*D30</f>
        <v>-0.274463045981337</v>
      </c>
      <c r="E32" s="2">
        <f>0.43*E29+0.76*E30</f>
        <v>2.064728563820529</v>
      </c>
    </row>
    <row r="33" spans="1:5" ht="12.75">
      <c r="A33" s="5" t="s">
        <v>186</v>
      </c>
      <c r="B33" s="2">
        <f>B30</f>
        <v>2.17509085587184</v>
      </c>
      <c r="C33" s="2">
        <f>C30</f>
        <v>0.0962085914228279</v>
      </c>
      <c r="D33" s="2">
        <f>D30</f>
        <v>0.8920658796327738</v>
      </c>
      <c r="E33" s="2">
        <f>E30</f>
        <v>2.633471626846424</v>
      </c>
    </row>
    <row r="34" spans="1:5" ht="12.75">
      <c r="A34" s="5" t="s">
        <v>187</v>
      </c>
      <c r="B34" s="4">
        <f>B28/(200+ABS(B28))</f>
        <v>0.178793140923796</v>
      </c>
      <c r="C34" s="4">
        <f>C28/(200+ABS(C28))</f>
        <v>0.20312686359199753</v>
      </c>
      <c r="D34" s="4">
        <f>D28/(200+ABS(D28))</f>
        <v>0.10681442095176777</v>
      </c>
      <c r="E34" s="4">
        <f>E28/(200+ABS(E28))</f>
        <v>0.14601797178077972</v>
      </c>
    </row>
    <row r="35" spans="1:5" ht="12.75">
      <c r="A35" s="5" t="s">
        <v>188</v>
      </c>
      <c r="B35" s="4">
        <f aca="true" t="shared" si="2" ref="B35:E39">B29/(200+ABS(B29))</f>
        <v>0.028694271901446557</v>
      </c>
      <c r="C35" s="4">
        <f t="shared" si="2"/>
        <v>0.06797757888455108</v>
      </c>
      <c r="D35" s="4">
        <f t="shared" si="2"/>
        <v>-0.010953495841203722</v>
      </c>
      <c r="E35" s="4">
        <f t="shared" si="2"/>
        <v>0.0007353905169503225</v>
      </c>
    </row>
    <row r="36" spans="1:5" ht="12.75">
      <c r="A36" s="5" t="s">
        <v>189</v>
      </c>
      <c r="B36" s="4">
        <f t="shared" si="2"/>
        <v>0.010758451234838004</v>
      </c>
      <c r="C36" s="4">
        <f t="shared" si="2"/>
        <v>0.00048081166604848854</v>
      </c>
      <c r="D36" s="4">
        <f t="shared" si="2"/>
        <v>0.004440523201982836</v>
      </c>
      <c r="E36" s="4">
        <f t="shared" si="2"/>
        <v>0.012996232091882701</v>
      </c>
    </row>
    <row r="37" spans="1:5" ht="12.75">
      <c r="A37" s="5" t="s">
        <v>190</v>
      </c>
      <c r="B37" s="4">
        <f t="shared" si="2"/>
        <v>0.019218221035947888</v>
      </c>
      <c r="C37" s="4">
        <f t="shared" si="2"/>
        <v>0.022426934414618405</v>
      </c>
      <c r="D37" s="4">
        <f t="shared" si="2"/>
        <v>0.010648327253472032</v>
      </c>
      <c r="E37" s="4">
        <f t="shared" si="2"/>
        <v>0.015155413562701562</v>
      </c>
    </row>
    <row r="38" spans="1:5" ht="12.75">
      <c r="A38" s="5" t="s">
        <v>191</v>
      </c>
      <c r="B38" s="4">
        <f t="shared" si="2"/>
        <v>0.02053774335064832</v>
      </c>
      <c r="C38" s="4">
        <f t="shared" si="2"/>
        <v>0.03075218253019539</v>
      </c>
      <c r="D38" s="4">
        <f t="shared" si="2"/>
        <v>-0.0013704345616860924</v>
      </c>
      <c r="E38" s="4">
        <f t="shared" si="2"/>
        <v>0.01021815424441283</v>
      </c>
    </row>
    <row r="39" spans="1:5" ht="12.75">
      <c r="A39" s="5" t="s">
        <v>192</v>
      </c>
      <c r="B39" s="4">
        <f t="shared" si="2"/>
        <v>0.010758451234838004</v>
      </c>
      <c r="C39" s="4">
        <f t="shared" si="2"/>
        <v>0.00048081166604848854</v>
      </c>
      <c r="D39" s="4">
        <f t="shared" si="2"/>
        <v>0.004440523201982836</v>
      </c>
      <c r="E39" s="4">
        <f t="shared" si="2"/>
        <v>0.012996232091882701</v>
      </c>
    </row>
    <row r="40" spans="1:5" ht="12.75">
      <c r="A40" s="5" t="s">
        <v>28</v>
      </c>
      <c r="B40" s="4">
        <f>SQRT(B34^2+B35^2+B36^2)</f>
        <v>0.18140036591562575</v>
      </c>
      <c r="C40" s="4">
        <f>SQRT(C34^2+C35^2+C36^2)</f>
        <v>0.21420015201578532</v>
      </c>
      <c r="D40" s="4">
        <f>SQRT(D34^2+D35^2+D36^2)</f>
        <v>0.10746635678533101</v>
      </c>
      <c r="E40" s="4">
        <f>SQRT(E34^2+E35^2+E36^2)</f>
        <v>0.14659703588671594</v>
      </c>
    </row>
    <row r="41" spans="1:5" ht="12.75">
      <c r="A41" s="5" t="s">
        <v>43</v>
      </c>
      <c r="B41" s="3">
        <f>SQRT(B38^2+B39^2)/B37</f>
        <v>1.2064060097299527</v>
      </c>
      <c r="C41" s="3">
        <f>SQRT(C38^2+C39^2)/C37</f>
        <v>1.3713840905409642</v>
      </c>
      <c r="D41" s="3">
        <f>SQRT(D38^2+D39^2)/D37</f>
        <v>0.43642403478656766</v>
      </c>
      <c r="E41" s="3">
        <f>SQRT(E38^2+E39^2)/E37</f>
        <v>1.0908427108427017</v>
      </c>
    </row>
    <row r="42" spans="1:5" ht="12.75">
      <c r="A42" s="5" t="s">
        <v>32</v>
      </c>
      <c r="B42" s="2">
        <f>B38/B39</f>
        <v>1.9089869817082057</v>
      </c>
      <c r="C42" s="2">
        <f>C38/C39</f>
        <v>63.9588943066413</v>
      </c>
      <c r="D42" s="2">
        <f>D38/D39</f>
        <v>-0.3086200655531198</v>
      </c>
      <c r="E42" s="2">
        <f>E38/E39</f>
        <v>0.7862397479647176</v>
      </c>
    </row>
  </sheetData>
  <printOptions gridLines="1" heading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2"/>
  <sheetViews>
    <sheetView workbookViewId="0" topLeftCell="A23">
      <selection activeCell="F45" sqref="F45"/>
    </sheetView>
  </sheetViews>
  <sheetFormatPr defaultColWidth="11.00390625" defaultRowHeight="12.75"/>
  <sheetData>
    <row r="1" ht="15.75">
      <c r="A1" s="7" t="s">
        <v>193</v>
      </c>
    </row>
    <row r="2" spans="1:5" ht="12.75">
      <c r="A2" s="5"/>
      <c r="B2" s="6" t="s">
        <v>274</v>
      </c>
      <c r="C2" s="6" t="s">
        <v>275</v>
      </c>
      <c r="D2" s="6" t="s">
        <v>276</v>
      </c>
      <c r="E2" s="6" t="s">
        <v>277</v>
      </c>
    </row>
    <row r="3" spans="1:5" ht="12.75">
      <c r="A3" s="5" t="s">
        <v>278</v>
      </c>
      <c r="B3" s="2">
        <v>19.01</v>
      </c>
      <c r="C3">
        <v>57.06</v>
      </c>
      <c r="D3">
        <v>3.53</v>
      </c>
      <c r="E3">
        <v>19.01</v>
      </c>
    </row>
    <row r="4" spans="1:5" ht="12.75">
      <c r="A4" s="5" t="s">
        <v>279</v>
      </c>
      <c r="B4" s="2">
        <v>20</v>
      </c>
      <c r="C4">
        <v>43.06</v>
      </c>
      <c r="D4">
        <v>6.56</v>
      </c>
      <c r="E4" s="2">
        <v>20</v>
      </c>
    </row>
    <row r="5" spans="1:5" ht="12.75">
      <c r="A5" s="5" t="s">
        <v>280</v>
      </c>
      <c r="B5" s="2">
        <v>21.78</v>
      </c>
      <c r="C5">
        <v>31.96</v>
      </c>
      <c r="D5">
        <v>2.14</v>
      </c>
      <c r="E5">
        <v>21.78</v>
      </c>
    </row>
    <row r="6" spans="1:5" ht="12.75">
      <c r="A6" s="5" t="s">
        <v>167</v>
      </c>
      <c r="B6" s="2">
        <v>95.05</v>
      </c>
      <c r="C6">
        <v>95.05</v>
      </c>
      <c r="D6">
        <v>109.85</v>
      </c>
      <c r="E6">
        <v>109.85</v>
      </c>
    </row>
    <row r="7" spans="1:5" ht="12.75">
      <c r="A7" s="5" t="s">
        <v>1</v>
      </c>
      <c r="B7" s="2">
        <v>100</v>
      </c>
      <c r="C7" s="2">
        <v>100</v>
      </c>
      <c r="D7" s="2">
        <v>100</v>
      </c>
      <c r="E7" s="2">
        <v>100</v>
      </c>
    </row>
    <row r="8" spans="1:5" ht="12.75">
      <c r="A8" s="5" t="s">
        <v>168</v>
      </c>
      <c r="B8" s="2">
        <v>108.88</v>
      </c>
      <c r="C8">
        <v>108.88</v>
      </c>
      <c r="D8">
        <v>35.58</v>
      </c>
      <c r="E8">
        <v>35.58</v>
      </c>
    </row>
    <row r="9" spans="1:5" ht="12.75">
      <c r="A9" s="5" t="s">
        <v>194</v>
      </c>
      <c r="B9" s="2">
        <v>95.05</v>
      </c>
      <c r="C9" s="2">
        <v>95.05</v>
      </c>
      <c r="D9" s="2">
        <v>95.05</v>
      </c>
      <c r="E9" s="2">
        <v>95.05</v>
      </c>
    </row>
    <row r="10" spans="1:5" ht="12.75">
      <c r="A10" s="5" t="s">
        <v>195</v>
      </c>
      <c r="B10" s="2">
        <v>100</v>
      </c>
      <c r="C10" s="2">
        <v>100</v>
      </c>
      <c r="D10" s="2">
        <v>100</v>
      </c>
      <c r="E10" s="2">
        <v>100</v>
      </c>
    </row>
    <row r="11" spans="1:5" ht="12.75">
      <c r="A11" s="5" t="s">
        <v>196</v>
      </c>
      <c r="B11" s="2">
        <v>108.88</v>
      </c>
      <c r="C11" s="2">
        <v>108.88</v>
      </c>
      <c r="D11" s="2">
        <v>108.88</v>
      </c>
      <c r="E11" s="2">
        <v>108.88</v>
      </c>
    </row>
    <row r="12" spans="1:5" ht="12.75">
      <c r="A12" s="5" t="s">
        <v>197</v>
      </c>
      <c r="B12" s="2">
        <v>318.30988618379</v>
      </c>
      <c r="C12" s="2">
        <v>31.830988618379067</v>
      </c>
      <c r="D12" s="2">
        <v>318.3098861837907</v>
      </c>
      <c r="E12" s="2">
        <v>31.830988618379067</v>
      </c>
    </row>
    <row r="13" spans="1:5" ht="12.75">
      <c r="A13" s="5" t="s">
        <v>130</v>
      </c>
      <c r="B13" s="1">
        <v>1</v>
      </c>
      <c r="C13" s="1">
        <v>1</v>
      </c>
      <c r="D13" s="1">
        <v>1</v>
      </c>
      <c r="E13" s="1">
        <v>1</v>
      </c>
    </row>
    <row r="14" spans="1:5" ht="12.75">
      <c r="A14" s="5" t="s">
        <v>54</v>
      </c>
      <c r="B14" s="1">
        <v>20</v>
      </c>
      <c r="C14" s="1">
        <v>20</v>
      </c>
      <c r="D14" s="1">
        <v>20</v>
      </c>
      <c r="E14" s="1">
        <v>20</v>
      </c>
    </row>
    <row r="15" spans="1:5" ht="12.75">
      <c r="A15" s="5" t="s">
        <v>198</v>
      </c>
      <c r="B15" s="1">
        <v>3</v>
      </c>
      <c r="C15" s="1">
        <v>3</v>
      </c>
      <c r="D15" s="1">
        <v>3</v>
      </c>
      <c r="E15" s="1">
        <v>3</v>
      </c>
    </row>
    <row r="16" spans="1:5" ht="12.75">
      <c r="A16" s="5" t="s">
        <v>71</v>
      </c>
      <c r="B16" s="1">
        <v>1</v>
      </c>
      <c r="C16" s="1">
        <v>1</v>
      </c>
      <c r="D16" s="1">
        <v>1</v>
      </c>
      <c r="E16" s="1">
        <v>1</v>
      </c>
    </row>
    <row r="17" spans="1:5" ht="12.75">
      <c r="A17" s="5" t="s">
        <v>199</v>
      </c>
      <c r="B17" s="1">
        <v>1</v>
      </c>
      <c r="C17" s="1">
        <v>1</v>
      </c>
      <c r="D17" s="1">
        <v>1</v>
      </c>
      <c r="E17" s="1">
        <v>1</v>
      </c>
    </row>
    <row r="18" spans="1:5" ht="12.75">
      <c r="A18" s="5" t="s">
        <v>18</v>
      </c>
      <c r="B18" s="2">
        <f>0.8951*(B3/B4)+0.2664*(B4/B4)-0.1614*(B5/B4)</f>
        <v>0.9414279500000002</v>
      </c>
      <c r="C18" s="2">
        <f>0.8951*(C3/C4)+0.2664*(C4/C4)-0.1614*(C5/C4)</f>
        <v>1.3327274965164886</v>
      </c>
      <c r="D18" s="2">
        <f>0.8951*(D3/D4)+0.2664*(D4/D4)-0.1614*(D5/D4)</f>
        <v>0.6954102134146342</v>
      </c>
      <c r="E18" s="2">
        <f>0.8951*(E3/E4)+0.2664*(E4/E4)-0.1614*(E5/E4)</f>
        <v>0.9414279500000002</v>
      </c>
    </row>
    <row r="19" spans="1:5" ht="12.75">
      <c r="A19" s="5" t="s">
        <v>19</v>
      </c>
      <c r="B19" s="2">
        <f>-0.7502*(B3/B4)+1.7135*(B4/B4)+0.0367*(B5/B4)</f>
        <v>1.0404011999999998</v>
      </c>
      <c r="C19" s="2">
        <f>-0.7502*(C3/C4)+1.7135*(C4/C4)+0.0367*(C5/C4)</f>
        <v>0.7466286576869485</v>
      </c>
      <c r="D19" s="2">
        <f>-0.7502*(D3/D4)+1.7135*(D4/D4)+0.0367*(D5/D4)</f>
        <v>1.3217823170731708</v>
      </c>
      <c r="E19" s="2">
        <f>-0.7502*(E3/E4)+1.7135*(E4/E4)+0.0367*(E5/E4)</f>
        <v>1.0404011999999998</v>
      </c>
    </row>
    <row r="20" spans="1:5" ht="12.75">
      <c r="A20" s="5" t="s">
        <v>20</v>
      </c>
      <c r="B20" s="2">
        <f>0.0389*(B3/B4)-0.0685*(B4/B4)+1.0296*(B5/B4)</f>
        <v>1.08970885</v>
      </c>
      <c r="C20" s="2">
        <f>0.0389*(C3/C4)-0.0685*(C4/C4)+1.0296*(C5/C4)</f>
        <v>0.7472373432419879</v>
      </c>
      <c r="D20" s="2">
        <f>0.0389*(D3/D4)-0.0685*(D4/D4)+1.0296*(D5/D4)</f>
        <v>0.2883080792682927</v>
      </c>
      <c r="E20" s="2">
        <f>0.0389*(E3/E4)-0.0685*(E4/E4)+1.0296*(E5/E4)</f>
        <v>1.08970885</v>
      </c>
    </row>
    <row r="21" spans="1:5" ht="12.75">
      <c r="A21" s="5" t="s">
        <v>11</v>
      </c>
      <c r="B21" s="2">
        <f>0.8951*(B6/B7)+0.2664*(B7/B7)-0.1614*(B8/B7)</f>
        <v>0.9414602299999999</v>
      </c>
      <c r="C21" s="2">
        <f>0.8951*(C6/C7)+0.2664*(C7/C7)-0.1614*(C8/C7)</f>
        <v>0.9414602299999999</v>
      </c>
      <c r="D21" s="2">
        <f>0.8951*(D6/D7)+0.2664*(D7/D7)-0.1614*(D8/D7)</f>
        <v>1.19224123</v>
      </c>
      <c r="E21" s="2">
        <f>0.8951*(E6/E7)+0.2664*(E7/E7)-0.1614*(E8/E7)</f>
        <v>1.19224123</v>
      </c>
    </row>
    <row r="22" spans="1:5" ht="12.75">
      <c r="A22" s="5" t="s">
        <v>12</v>
      </c>
      <c r="B22" s="2">
        <f>-0.7502*(B6/B7)+1.7135*(B7/B7)+0.0367*(B8/B7)</f>
        <v>1.0403938600000002</v>
      </c>
      <c r="C22" s="2">
        <f>-0.7502*(C6/C7)+1.7135*(C7/C7)+0.0367*(C8/C7)</f>
        <v>1.0403938600000002</v>
      </c>
      <c r="D22" s="2">
        <f>-0.7502*(D6/D7)+1.7135*(D7/D7)+0.0367*(D8/D7)</f>
        <v>0.90246316</v>
      </c>
      <c r="E22" s="2">
        <f>-0.7502*(E6/E7)+1.7135*(E7/E7)+0.0367*(E8/E7)</f>
        <v>0.90246316</v>
      </c>
    </row>
    <row r="23" spans="1:5" ht="12.75">
      <c r="A23" s="5" t="s">
        <v>13</v>
      </c>
      <c r="B23" s="2">
        <f>0.0389*(B6/B7)-0.0685*(B7/B7)+1.0296*(B8/B7)</f>
        <v>1.08950293</v>
      </c>
      <c r="C23" s="2">
        <f>0.0389*(C6/C7)-0.0685*(C7/C7)+1.0296*(C8/C7)</f>
        <v>1.08950293</v>
      </c>
      <c r="D23" s="2">
        <f>0.0389*(D6/D7)-0.0685*(D7/D7)+1.0296*(D8/D7)</f>
        <v>0.34056333000000005</v>
      </c>
      <c r="E23" s="2">
        <f>0.0389*(E6/E7)-0.0685*(E7/E7)+1.0296*(E8/E7)</f>
        <v>0.34056333000000005</v>
      </c>
    </row>
    <row r="24" spans="1:5" ht="12.75">
      <c r="A24" s="5" t="s">
        <v>200</v>
      </c>
      <c r="B24" s="2">
        <f>0.8951*(B9/B10)+0.2664*(B10/B10)-0.1614*(B11/B10)</f>
        <v>0.9414602299999999</v>
      </c>
      <c r="C24" s="2">
        <f>0.8951*(C9/C10)+0.2664*(C10/C10)-0.1614*(C11/C10)</f>
        <v>0.9414602299999999</v>
      </c>
      <c r="D24" s="2">
        <f>0.8951*(D9/D10)+0.2664*(D10/D10)-0.1614*(D11/D10)</f>
        <v>0.9414602299999999</v>
      </c>
      <c r="E24" s="2">
        <f>0.8951*(E9/E10)+0.2664*(E10/E10)-0.1614*(E11/E10)</f>
        <v>0.9414602299999999</v>
      </c>
    </row>
    <row r="25" spans="1:5" ht="12.75">
      <c r="A25" s="5" t="s">
        <v>201</v>
      </c>
      <c r="B25" s="2">
        <f>-0.7502*(B9/B10)+1.7135*(B10/B10)+0.0367*(B11/B10)</f>
        <v>1.0403938600000002</v>
      </c>
      <c r="C25" s="2">
        <f>-0.7502*(C9/C10)+1.7135*(C10/C10)+0.0367*(C11/C10)</f>
        <v>1.0403938600000002</v>
      </c>
      <c r="D25" s="2">
        <f>-0.7502*(D9/D10)+1.7135*(D10/D10)+0.0367*(D11/D10)</f>
        <v>1.0403938600000002</v>
      </c>
      <c r="E25" s="2">
        <f>-0.7502*(E9/E10)+1.7135*(E10/E10)+0.0367*(E11/E10)</f>
        <v>1.0403938600000002</v>
      </c>
    </row>
    <row r="26" spans="1:5" ht="12.75">
      <c r="A26" s="5" t="s">
        <v>202</v>
      </c>
      <c r="B26" s="2">
        <f>0.0389*(B9/B10)-0.0685*(B10/B10)+1.0296*(B11/B10)</f>
        <v>1.08950293</v>
      </c>
      <c r="C26" s="2">
        <f>0.0389*(C9/C10)-0.0685*(C10/C10)+1.0296*(C11/C10)</f>
        <v>1.08950293</v>
      </c>
      <c r="D26" s="2">
        <f>0.0389*(D9/D10)-0.0685*(D10/D10)+1.0296*(D11/D10)</f>
        <v>1.08950293</v>
      </c>
      <c r="E26" s="2">
        <f>0.0389*(E9/E10)-0.0685*(E10/E10)+1.0296*(E11/E10)</f>
        <v>1.08950293</v>
      </c>
    </row>
    <row r="27" spans="1:5" ht="12.75">
      <c r="A27" s="5" t="s">
        <v>203</v>
      </c>
      <c r="B27" s="2">
        <f>(B23/B26)^0.0834</f>
        <v>1</v>
      </c>
      <c r="C27" s="2">
        <f>(C23/C26)^0.0834</f>
        <v>1</v>
      </c>
      <c r="D27" s="2">
        <f>(D23/D26)^0.0834</f>
        <v>0.9075706750191428</v>
      </c>
      <c r="E27" s="2">
        <f>(E23/E26)^0.0834</f>
        <v>0.9075706750191428</v>
      </c>
    </row>
    <row r="28" spans="1:5" ht="12.75">
      <c r="A28" s="5" t="s">
        <v>204</v>
      </c>
      <c r="B28" s="2">
        <f>(B13*(B24/B21)+1-B13)*B18</f>
        <v>0.9414279500000002</v>
      </c>
      <c r="C28" s="2">
        <f>(C13*(C24/C21)+1-C13)*C18</f>
        <v>1.3327274965164886</v>
      </c>
      <c r="D28" s="2">
        <f>(D13*(D24/D21)+1-D13)*D18</f>
        <v>0.5491347245772489</v>
      </c>
      <c r="E28" s="2">
        <f>(E13*(E24/E21)+1-E13)*E18</f>
        <v>0.7434040628970938</v>
      </c>
    </row>
    <row r="29" spans="1:5" ht="12.75">
      <c r="A29" s="5" t="s">
        <v>205</v>
      </c>
      <c r="B29" s="2">
        <f>(B13*(B25/B22)+1-B13)*B19</f>
        <v>1.0404011999999998</v>
      </c>
      <c r="C29" s="2">
        <f>(C13*(C25/C22)+1-C13)*C19</f>
        <v>0.7466286576869485</v>
      </c>
      <c r="D29" s="2">
        <f>(D13*(D25/D22)+1-D13)*D19</f>
        <v>1.523800934920712</v>
      </c>
      <c r="E29" s="2">
        <f>(E13*(E25/E22)+1-E13)*E19</f>
        <v>1.1994140795914947</v>
      </c>
    </row>
    <row r="30" spans="1:5" ht="12.75">
      <c r="A30" s="5" t="s">
        <v>28</v>
      </c>
      <c r="B30" s="2">
        <f>IF(B20&gt;=0,(B13*(B26/B23^B27)+1-B13)*B20^B27,-(B13*(B26/B23^B27)+1-B13)*(ABS(B20))^B27)</f>
        <v>1.08970885</v>
      </c>
      <c r="C30" s="2">
        <f>IF(C20&gt;=0,(C13*(C26/C23^C27)+1-C13)*C20^C27,-(C13*(C26/C23^C27)+1-C13)*(ABS(C20))^C27)</f>
        <v>0.7472373432419879</v>
      </c>
      <c r="D30" s="2">
        <f>IF(D20&gt;=0,(D13*(D26/D23^D27)+1-D13)*D20^D27,-(D13*(D26/D23^D27)+1-D13)*(ABS(D20))^D27)</f>
        <v>0.9366423017378966</v>
      </c>
      <c r="E30" s="2">
        <f>IF(E20&gt;=0,(E13*(E26/E23^E27)+1-E13)*E20^E27,-(E13*(E26/E23^E27)+1-E13)*(ABS(E20))^E27)</f>
        <v>3.13078886634389</v>
      </c>
    </row>
    <row r="31" spans="1:5" ht="12.75">
      <c r="A31" s="5" t="s">
        <v>206</v>
      </c>
      <c r="B31" s="1">
        <f>0.987*B28*B4-0.1471*B29*B4+0.16*B30*B4</f>
        <v>19.009995722600003</v>
      </c>
      <c r="C31" s="1">
        <f>0.987*C28*C4-0.1471*C29*C4+0.16*C30*C4</f>
        <v>57.060138209</v>
      </c>
      <c r="D31" s="1">
        <f>0.987*D28*D4-0.1471*D29*D4+0.16*D30*D4</f>
        <v>3.0681620128428513</v>
      </c>
      <c r="E31" s="1">
        <f>0.987*E28*E4-0.1471*E29*E4+0.16*E30*E4</f>
        <v>21.1646443517309</v>
      </c>
    </row>
    <row r="32" spans="1:5" ht="12.75">
      <c r="A32" s="5" t="s">
        <v>207</v>
      </c>
      <c r="B32" s="1">
        <f>0.4323*B28*B4+0.5184*B29*B4+0.0493*B30*B4</f>
        <v>20.000918623400004</v>
      </c>
      <c r="C32" s="1">
        <f>0.4323*C28*C4+0.5184*C29*C4+0.0493*C30*C4</f>
        <v>43.0612570898</v>
      </c>
      <c r="D32" s="1">
        <f>0.4323*D28*D4+0.5184*D29*D4+0.0493*D30*D4</f>
        <v>7.042198123920979</v>
      </c>
      <c r="E32" s="1">
        <f>0.4323*E28*E4+0.5184*E29*E4+0.0493*E30*E4</f>
        <v>21.949954527227966</v>
      </c>
    </row>
    <row r="33" spans="1:5" ht="12.75">
      <c r="A33" s="5" t="s">
        <v>208</v>
      </c>
      <c r="B33" s="1">
        <f>-0.0085*B28*B4+0.04*B29*B4+0.9685*B30*B4</f>
        <v>21.779938633000004</v>
      </c>
      <c r="C33" s="1">
        <f>-0.0085*C28*C4+0.04*C29*C4+0.9685*C30*C4</f>
        <v>31.960696349</v>
      </c>
      <c r="D33" s="1">
        <f>-0.0085*D28*D4+0.04*D29*D4+0.9685*D30*D4</f>
        <v>6.32005134725025</v>
      </c>
      <c r="E33" s="1">
        <f>-0.0085*E28*E4+0.04*E29*E4+0.9685*E30*E4</f>
        <v>61.476532914061835</v>
      </c>
    </row>
    <row r="34" spans="1:5" ht="12.75">
      <c r="A34" s="5" t="s">
        <v>209</v>
      </c>
      <c r="B34" s="3">
        <f>IF(B31&gt;0.8856,(B31/95.05)^(1/B15),((0.008856^(1/B15)-16/116)/0.008856)*(B31/95.05)+16/116)</f>
        <v>0.5848035037807657</v>
      </c>
      <c r="C34" s="3">
        <f>IF(C31&gt;0.8856,(C31/95.05)^(1/C15),((0.008856^(1/C15)-16/116)/0.008856)*(C31/95.05)+16/116)</f>
        <v>0.8435812132794213</v>
      </c>
      <c r="D34" s="3">
        <f>IF(D31&gt;0.8856,(D31/95.05)^(1/D15),((0.008856^(1/D15)-16/116)/0.008856)*(D31/95.05)+16/116)</f>
        <v>0.31840170827653425</v>
      </c>
      <c r="E34" s="3">
        <f>IF(E31&gt;0.8856,(E31/95.05)^(1/E15),((0.008856^(1/E15)-16/116)/0.008856)*(E31/95.05)+16/116)</f>
        <v>0.6061120961328331</v>
      </c>
    </row>
    <row r="35" spans="1:5" ht="12.75">
      <c r="A35" s="5" t="s">
        <v>210</v>
      </c>
      <c r="B35" s="3">
        <f>IF(B32&gt;0.8856,(B32/100)^(1/B15),((0.008856^(1/B15)-16/116)/0.008856)*(B32/100)+16/116)</f>
        <v>0.5848125010758819</v>
      </c>
      <c r="C35" s="3">
        <f>IF(C32&gt;0.8856,(C32/100)^(1/C15),((0.008856^(1/C15)-16/116)/0.008856)*(C32/100)+16/116)</f>
        <v>0.7551424790812999</v>
      </c>
      <c r="D35" s="3">
        <f>IF(D32&gt;0.8856,(D32/100)^(1/D15),((0.008856^(1/D15)-16/116)/0.008856)*(D32/100)+16/116)</f>
        <v>0.4129550167032854</v>
      </c>
      <c r="E35" s="3">
        <f>IF(E32&gt;0.8856,(E32/100)^(1/E15),((0.008856^(1/E15)-16/116)/0.008856)*(E32/100)+16/116)</f>
        <v>0.6032229760729577</v>
      </c>
    </row>
    <row r="36" spans="1:5" ht="12.75">
      <c r="A36" s="5" t="s">
        <v>211</v>
      </c>
      <c r="B36" s="3">
        <f>IF(B33&gt;0.8856,(B33/108.88)^(1/B15),((0.008856^(1/B15)-16/116)/0.008856)*(B33/108.88)+16/116)</f>
        <v>0.5848388033935128</v>
      </c>
      <c r="C36" s="3">
        <f>IF(C33&gt;0.8856,(C33/108.88)^(1/C15),((0.008856^(1/C15)-16/116)/0.008856)*(C33/108.88)+16/116)</f>
        <v>0.6645934248442956</v>
      </c>
      <c r="D36" s="3">
        <f>IF(D33&gt;0.8856,(D33/108.88)^(1/D15),((0.008856^(1/D15)-16/116)/0.008856)*(D33/108.88)+16/116)</f>
        <v>0.3871900290942292</v>
      </c>
      <c r="E36" s="3">
        <f>IF(E33&gt;0.8856,(E33/108.88)^(1/E15),((0.008856^(1/E15)-16/116)/0.008856)*(E33/108.88)+16/116)</f>
        <v>0.8265207316845012</v>
      </c>
    </row>
    <row r="37" spans="1:5" ht="12.75">
      <c r="A37" s="5" t="s">
        <v>212</v>
      </c>
      <c r="B37" s="2">
        <f>116*B35^(1+B16*(B14/100)^(1/2))-16</f>
        <v>37.36804749392822</v>
      </c>
      <c r="C37" s="2">
        <f>116*C35^(1+C16*(C14/100)^(1/2))-16</f>
        <v>61.25734104352391</v>
      </c>
      <c r="D37" s="2">
        <f>116*D35^(1+D16*(D14/100)^(1/2))-16</f>
        <v>16.254270353118976</v>
      </c>
      <c r="E37" s="2">
        <f>116*E35^(1+E16*(E14/100)^(1/2))-16</f>
        <v>39.81649807029007</v>
      </c>
    </row>
    <row r="38" spans="1:5" ht="12.75">
      <c r="A38" s="5" t="s">
        <v>117</v>
      </c>
      <c r="B38" s="2">
        <f>500*(B34-B35)</f>
        <v>-0.004498647558082158</v>
      </c>
      <c r="C38" s="2">
        <f>500*(C34-C35)</f>
        <v>44.219367099060655</v>
      </c>
      <c r="D38" s="2">
        <f>500*(D34-D35)</f>
        <v>-47.276654213375565</v>
      </c>
      <c r="E38" s="2">
        <f>500*(E34-E35)</f>
        <v>1.4445600299377026</v>
      </c>
    </row>
    <row r="39" spans="1:5" ht="12.75">
      <c r="A39" s="5" t="s">
        <v>20</v>
      </c>
      <c r="B39" s="2">
        <f>200*(B35-B36)</f>
        <v>-0.005260463526179926</v>
      </c>
      <c r="C39" s="2">
        <f>200*(C35-C36)</f>
        <v>18.109810847400865</v>
      </c>
      <c r="D39" s="2">
        <f>200*(D35-D36)</f>
        <v>5.152997521811232</v>
      </c>
      <c r="E39" s="2">
        <f>200*(E35-E36)</f>
        <v>-44.659551122308706</v>
      </c>
    </row>
    <row r="40" spans="1:5" ht="12.75">
      <c r="A40" s="5" t="s">
        <v>43</v>
      </c>
      <c r="B40" s="2">
        <f>SQRT(B38^2+B39^2)</f>
        <v>0.0069217271227713035</v>
      </c>
      <c r="C40" s="2">
        <f>SQRT(C38^2+C39^2)</f>
        <v>47.78407345099543</v>
      </c>
      <c r="D40" s="2">
        <f>SQRT(D38^2+D39^2)</f>
        <v>47.55665481371534</v>
      </c>
      <c r="E40" s="2">
        <f>SQRT(E38^2+E39^2)</f>
        <v>44.68290791931741</v>
      </c>
    </row>
    <row r="41" spans="1:5" ht="12.75">
      <c r="A41" s="5" t="s">
        <v>213</v>
      </c>
      <c r="B41" s="2">
        <f>25*LN(1+0.05*B40)</f>
        <v>0.008650662051742242</v>
      </c>
      <c r="C41" s="2">
        <f>25*LN(1+0.05*C40)</f>
        <v>30.514874723632946</v>
      </c>
      <c r="D41" s="2">
        <f>25*LN(1+0.05*D40)</f>
        <v>30.430857571428</v>
      </c>
      <c r="E41" s="2">
        <f>25*LN(1+0.05*E40)</f>
        <v>29.344117967475015</v>
      </c>
    </row>
    <row r="42" spans="1:5" ht="12.75">
      <c r="A42" s="5" t="s">
        <v>214</v>
      </c>
      <c r="B42" s="2">
        <f>B41/B37</f>
        <v>0.00023149890432856712</v>
      </c>
      <c r="C42" s="2">
        <f>C41/C37</f>
        <v>0.49814233206681047</v>
      </c>
      <c r="D42" s="2">
        <f>D41/D37</f>
        <v>1.8721761672672514</v>
      </c>
      <c r="E42" s="2">
        <f>E41/E37</f>
        <v>0.7369838983747984</v>
      </c>
    </row>
    <row r="43" spans="1:5" ht="12.75">
      <c r="A43" s="5" t="s">
        <v>215</v>
      </c>
      <c r="B43" s="2">
        <f>1+0.47*LOG10(B12)-0.057*LOG10(B12)^2</f>
        <v>1.8192768105277224</v>
      </c>
      <c r="C43" s="2">
        <f>1+0.47*LOG10(C12)-0.057*LOG10(C12)^2</f>
        <v>1.5776017250405912</v>
      </c>
      <c r="D43" s="2">
        <f>1+0.47*LOG10(D12)-0.057*LOG10(D12)^2</f>
        <v>1.8192768105277226</v>
      </c>
      <c r="E43" s="2">
        <f>1+0.47*LOG10(E12)-0.057*LOG10(E12)^2</f>
        <v>1.5776017250405912</v>
      </c>
    </row>
    <row r="44" spans="1:5" ht="12.75">
      <c r="A44" s="5" t="s">
        <v>216</v>
      </c>
      <c r="B44" s="2">
        <f>0.7+0.02*B37-0.0002*B37^2</f>
        <v>1.1680867551768694</v>
      </c>
      <c r="C44" s="2">
        <f>0.7+0.02*C37-0.0002*C37^2</f>
        <v>1.1746544545259583</v>
      </c>
      <c r="D44" s="2">
        <f>0.7+0.02*D37-0.0002*D37^2</f>
        <v>0.9722451461199231</v>
      </c>
      <c r="E44" s="2">
        <f>0.7+0.02*E37-0.0002*E37^2</f>
        <v>1.1792592576895187</v>
      </c>
    </row>
    <row r="45" spans="1:5" ht="12.75">
      <c r="A45" s="5" t="s">
        <v>217</v>
      </c>
      <c r="B45" s="2">
        <f>B41*B44*B43*B17</f>
        <v>0.01838328962454737</v>
      </c>
      <c r="C45" s="2">
        <f>C41*C44*C43*C17</f>
        <v>56.54824015964547</v>
      </c>
      <c r="D45" s="2">
        <f>D41*D44*D43*D17</f>
        <v>53.825585023176274</v>
      </c>
      <c r="E45" s="2">
        <f>E41*E44*E43*E17</f>
        <v>54.59183929877654</v>
      </c>
    </row>
    <row r="46" spans="1:5" ht="12.75">
      <c r="A46" s="5" t="s">
        <v>218</v>
      </c>
      <c r="B46" s="1">
        <f>IF(B39&gt;=0,(360/(2*PI()))*ATAN2(B38,B39),360+(360/(2*PI()))*ATAN2(B38,B39))</f>
        <v>229.4635727000973</v>
      </c>
      <c r="C46" s="1">
        <f>IF(C39&gt;=0,(360/(2*PI()))*ATAN2(C38,C39),360+(360/(2*PI()))*ATAN2(C38,C39))</f>
        <v>22.271296730229757</v>
      </c>
      <c r="D46" s="1">
        <f>IF(D39&gt;=0,(360/(2*PI()))*ATAN2(D38,D39),360+(360/(2*PI()))*ATAN2(D38,D39))</f>
        <v>173.77950741574872</v>
      </c>
      <c r="E46" s="1">
        <f>IF(E39&gt;=0,(360/(2*PI()))*ATAN2(E38,E39),360+(360/(2*PI()))*ATAN2(E38,E39))</f>
        <v>271.8526461523262</v>
      </c>
    </row>
    <row r="47" spans="1:5" ht="12.75">
      <c r="A47" s="5" t="s">
        <v>219</v>
      </c>
      <c r="B47" s="2">
        <f>B45*COS(B46*(2*PI()/360))</f>
        <v>-0.011947876521586413</v>
      </c>
      <c r="C47" s="2">
        <f>C45*COS(C46*(2*PI()/360))</f>
        <v>52.32972431681872</v>
      </c>
      <c r="D47" s="2">
        <f>D45*COS(D46*(2*PI()/360))</f>
        <v>-53.50867467321233</v>
      </c>
      <c r="E47" s="2">
        <f>E45*COS(E46*(2*PI()/360))</f>
        <v>1.7649072695579813</v>
      </c>
    </row>
    <row r="48" spans="1:5" ht="12.75">
      <c r="A48" s="5" t="s">
        <v>220</v>
      </c>
      <c r="B48" s="2">
        <f>B45*SIN(B46*(2*PI()/360))</f>
        <v>-0.013971169745046945</v>
      </c>
      <c r="C48" s="2">
        <f>C45*SIN(C46*(2*PI()/360))</f>
        <v>21.431365287323437</v>
      </c>
      <c r="D48" s="2">
        <f>D45*SIN(D46*(2*PI()/360))</f>
        <v>5.832266952352489</v>
      </c>
      <c r="E48" s="2">
        <f>E45*SIN(E46*(2*PI()/360))</f>
        <v>-54.56330287247377</v>
      </c>
    </row>
    <row r="49" spans="1:5" ht="12.75">
      <c r="A49" s="5" t="s">
        <v>162</v>
      </c>
      <c r="B49" s="9">
        <f>IF(B46&gt;254,(B46-254)*(100/131),IF(B46&lt;25,(B46+106)*(100/131),IF(B46&lt;93,(93-B46)*(100/68),0)))</f>
        <v>0</v>
      </c>
      <c r="C49" s="9">
        <f>IF(C46&gt;254,(C46-254)*(100/131),IF(C46&lt;25,(C46+106)*(100/131),IF(C46&lt;93,(93-C46)*(100/68),0)))</f>
        <v>97.91702040475555</v>
      </c>
      <c r="D49" s="9">
        <f>IF(D46&gt;254,(D46-254)*(100/131),IF(D46&lt;25,(D46+106)*(100/131),IF(D46&lt;93,(93-D46)*(100/68),0)))</f>
        <v>0</v>
      </c>
      <c r="E49" s="9">
        <f>IF(E46&gt;254,(E46-254)*(100/131),IF(E46&lt;25,(E46+106)*(100/131),IF(E46&lt;93,(93-E46)*(100/68),0)))</f>
        <v>13.62797416208107</v>
      </c>
    </row>
    <row r="50" spans="1:5" ht="12.75">
      <c r="A50" s="5" t="s">
        <v>163</v>
      </c>
      <c r="B50" s="9">
        <f>IF(B46&lt;25,0,IF(B46&lt;=93,(B46-25)*(100/68),IF(B46&lt;165,(165-B46-93)*(100/72),0)))</f>
        <v>0</v>
      </c>
      <c r="C50" s="9">
        <f>IF(C46&lt;25,0,IF(C46&lt;=93,(C46-25)*(100/68),IF(C46&lt;165,(165-C46-93)*(100/72),0)))</f>
        <v>0</v>
      </c>
      <c r="D50" s="9">
        <f>IF(D46&lt;25,0,IF(D46&lt;=93,(D46-25)*(100/68),IF(D46&lt;165,(165-D46-93)*(100/72),0)))</f>
        <v>0</v>
      </c>
      <c r="E50" s="9">
        <f>IF(E46&lt;25,0,IF(E46&lt;=93,(E46-25)*(100/68),IF(E46&lt;165,(165-E46-93)*(100/72),0)))</f>
        <v>0</v>
      </c>
    </row>
    <row r="51" spans="1:5" ht="12.75">
      <c r="A51" s="5" t="s">
        <v>164</v>
      </c>
      <c r="B51" s="9">
        <f>IF(B46&lt;93,0,IF(B46&lt;=165,(B46-93)*(100/72),IF(B46&lt;254,(254-B46)*(100/89),0)))</f>
        <v>27.569019438092923</v>
      </c>
      <c r="C51" s="9">
        <f>IF(C46&lt;93,0,IF(C46&lt;=165,(C46-93)*(100/72),IF(C46&lt;254,(254-C46)*(100/89),0)))</f>
        <v>0</v>
      </c>
      <c r="D51" s="9">
        <f>IF(D46&lt;93,0,IF(D46&lt;=165,(D46-93)*(100/72),IF(D46&lt;254,(254-D46)*(100/89),0)))</f>
        <v>90.13538492612503</v>
      </c>
      <c r="E51" s="9">
        <f>IF(E46&lt;93,0,IF(E46&lt;=165,(E46-93)*(100/72),IF(E46&lt;254,(254-E46)*(100/89),0)))</f>
        <v>0</v>
      </c>
    </row>
    <row r="52" spans="1:5" ht="12.75">
      <c r="A52" s="5" t="s">
        <v>165</v>
      </c>
      <c r="B52" s="9">
        <f>IF(B46&gt;254,(360-B46+25)*(100/131),IF(B46&gt;165,(B46-165)*(100/89),IF(B46&lt;25,(25-B46)*(100/131))))</f>
        <v>72.43098056190709</v>
      </c>
      <c r="C52" s="9">
        <f>IF(C46&gt;254,(360-C46+25)*(100/131),IF(C46&gt;165,(C46-165)*(100/89),IF(C46&lt;25,(25-C46)*(100/131))))</f>
        <v>2.0829795952444603</v>
      </c>
      <c r="D52" s="9">
        <f>IF(D46&gt;254,(360-D46+25)*(100/131),IF(D46&gt;165,(D46-165)*(100/89),IF(D46&lt;25,(25-D46)*(100/131))))</f>
        <v>9.864615073874972</v>
      </c>
      <c r="E52" s="9">
        <f>IF(E46&gt;254,(360-E46+25)*(100/131),IF(E46&gt;165,(E46-165)*(100/89),IF(E46&lt;25,(25-E46)*(100/131))))</f>
        <v>86.37202583791894</v>
      </c>
    </row>
  </sheetData>
  <printOptions gridLines="1" headings="1" horizontalCentered="1" verticalCentered="1"/>
  <pageMargins left="0.75" right="0.75" top="1" bottom="1" header="0.5" footer="0.5"/>
  <pageSetup fitToHeight="1" fitToWidth="1"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E68"/>
  <sheetViews>
    <sheetView workbookViewId="0" topLeftCell="A39">
      <selection activeCell="H67" sqref="H67"/>
    </sheetView>
  </sheetViews>
  <sheetFormatPr defaultColWidth="11.00390625" defaultRowHeight="12.75"/>
  <sheetData>
    <row r="1" ht="15.75">
      <c r="A1" s="7" t="s">
        <v>221</v>
      </c>
    </row>
    <row r="2" spans="1:5" ht="12.75">
      <c r="A2" s="5"/>
      <c r="B2" s="6" t="s">
        <v>274</v>
      </c>
      <c r="C2" s="6" t="s">
        <v>275</v>
      </c>
      <c r="D2" s="6" t="s">
        <v>276</v>
      </c>
      <c r="E2" s="6" t="s">
        <v>277</v>
      </c>
    </row>
    <row r="3" spans="1:5" ht="12.75">
      <c r="A3" s="5" t="s">
        <v>278</v>
      </c>
      <c r="B3" s="2">
        <v>19.01</v>
      </c>
      <c r="C3">
        <v>57.06</v>
      </c>
      <c r="D3">
        <v>3.53</v>
      </c>
      <c r="E3">
        <v>19.01</v>
      </c>
    </row>
    <row r="4" spans="1:5" ht="12.75">
      <c r="A4" s="5" t="s">
        <v>279</v>
      </c>
      <c r="B4" s="2">
        <v>20</v>
      </c>
      <c r="C4">
        <v>43.06</v>
      </c>
      <c r="D4">
        <v>6.56</v>
      </c>
      <c r="E4" s="2">
        <v>20</v>
      </c>
    </row>
    <row r="5" spans="1:5" ht="12.75">
      <c r="A5" s="5" t="s">
        <v>280</v>
      </c>
      <c r="B5" s="2">
        <v>21.78</v>
      </c>
      <c r="C5">
        <v>31.96</v>
      </c>
      <c r="D5">
        <v>2.14</v>
      </c>
      <c r="E5">
        <v>21.78</v>
      </c>
    </row>
    <row r="6" spans="1:5" ht="12.75">
      <c r="A6" s="5" t="s">
        <v>222</v>
      </c>
      <c r="B6" s="2">
        <v>95.05</v>
      </c>
      <c r="C6">
        <v>95.05</v>
      </c>
      <c r="D6">
        <v>109.85</v>
      </c>
      <c r="E6">
        <v>109.85</v>
      </c>
    </row>
    <row r="7" spans="1:5" ht="12.75">
      <c r="A7" s="5" t="s">
        <v>223</v>
      </c>
      <c r="B7" s="2">
        <v>100</v>
      </c>
      <c r="C7" s="2">
        <v>100</v>
      </c>
      <c r="D7" s="2">
        <v>100</v>
      </c>
      <c r="E7" s="2">
        <v>100</v>
      </c>
    </row>
    <row r="8" spans="1:5" ht="12.75">
      <c r="A8" s="5" t="s">
        <v>224</v>
      </c>
      <c r="B8" s="2">
        <v>108.88</v>
      </c>
      <c r="C8">
        <v>108.88</v>
      </c>
      <c r="D8">
        <v>35.58</v>
      </c>
      <c r="E8">
        <v>35.58</v>
      </c>
    </row>
    <row r="9" spans="1:5" ht="12.75">
      <c r="A9" s="5" t="s">
        <v>225</v>
      </c>
      <c r="B9" s="2">
        <v>318.30988618379</v>
      </c>
      <c r="C9" s="2">
        <v>31.830988618379067</v>
      </c>
      <c r="D9" s="2">
        <v>318.3098861837907</v>
      </c>
      <c r="E9" s="2">
        <v>31.830988618379067</v>
      </c>
    </row>
    <row r="10" spans="1:5" ht="12.75">
      <c r="A10" s="5" t="s">
        <v>226</v>
      </c>
      <c r="B10" s="1">
        <v>1</v>
      </c>
      <c r="C10" s="1">
        <v>1</v>
      </c>
      <c r="D10" s="1">
        <v>1</v>
      </c>
      <c r="E10" s="1">
        <v>1</v>
      </c>
    </row>
    <row r="11" spans="1:5" ht="12.75">
      <c r="A11" s="5" t="s">
        <v>130</v>
      </c>
      <c r="B11" s="3">
        <f>B10-(B10/(1+2*B9^(1/4)+(B9^2/300)))</f>
        <v>0.9971196917078387</v>
      </c>
      <c r="C11" s="3">
        <f>C10-(C10/(1+2*C9^(1/4)+(C9^2/300)))</f>
        <v>0.8904458703122895</v>
      </c>
      <c r="D11" s="3">
        <f>D10-(D10/(1+2*D9^(1/4)+(D9^2/300)))</f>
        <v>0.9971196917078387</v>
      </c>
      <c r="E11" s="3">
        <f>E10-(E10/(1+2*E9^(1/4)+(E9^2/300)))</f>
        <v>0.8904458703122895</v>
      </c>
    </row>
    <row r="12" spans="1:5" ht="12.75">
      <c r="A12" s="5" t="s">
        <v>54</v>
      </c>
      <c r="B12" s="1">
        <v>20</v>
      </c>
      <c r="C12" s="1">
        <v>20</v>
      </c>
      <c r="D12" s="1">
        <v>20</v>
      </c>
      <c r="E12" s="1">
        <v>20</v>
      </c>
    </row>
    <row r="13" spans="1:5" ht="12.75">
      <c r="A13" s="5" t="s">
        <v>227</v>
      </c>
      <c r="B13" s="2">
        <v>0.69</v>
      </c>
      <c r="C13" s="2">
        <v>0.69</v>
      </c>
      <c r="D13" s="2">
        <v>0.69</v>
      </c>
      <c r="E13" s="2">
        <v>0.69</v>
      </c>
    </row>
    <row r="14" spans="1:5" ht="12.75">
      <c r="A14" s="5" t="s">
        <v>55</v>
      </c>
      <c r="B14" s="1">
        <v>1</v>
      </c>
      <c r="C14" s="1">
        <v>1</v>
      </c>
      <c r="D14" s="1">
        <v>1</v>
      </c>
      <c r="E14" s="1">
        <v>1</v>
      </c>
    </row>
    <row r="15" spans="1:5" ht="12.75">
      <c r="A15" s="5" t="s">
        <v>228</v>
      </c>
      <c r="B15" s="1">
        <v>1</v>
      </c>
      <c r="C15" s="1">
        <v>1</v>
      </c>
      <c r="D15" s="1">
        <v>1</v>
      </c>
      <c r="E15" s="1">
        <v>1</v>
      </c>
    </row>
    <row r="16" spans="1:5" ht="12.75">
      <c r="A16" s="5" t="s">
        <v>70</v>
      </c>
      <c r="B16" s="3">
        <f>1/(5*B9+1)</f>
        <v>0.0006279239944363732</v>
      </c>
      <c r="C16" s="3">
        <f>1/(5*C9+1)</f>
        <v>0.0062439533909747</v>
      </c>
      <c r="D16" s="3">
        <f>1/(5*D9+1)</f>
        <v>0.0006279239944363717</v>
      </c>
      <c r="E16" s="3">
        <f>1/(5*E9+1)</f>
        <v>0.0062439533909747</v>
      </c>
    </row>
    <row r="17" spans="1:5" ht="12.75">
      <c r="A17" s="5" t="s">
        <v>71</v>
      </c>
      <c r="B17" s="2">
        <f>0.2*B16^4*5*B9+0.1*(1-B16^4)^2*(5*B9)^(1/3)</f>
        <v>1.1675443249898576</v>
      </c>
      <c r="C17" s="2">
        <f>0.2*C16^4*5*C9+0.1*(1-C16^4)^2*(5*C9)^(1/3)</f>
        <v>0.5419261168744008</v>
      </c>
      <c r="D17" s="2">
        <f>0.2*D16^4*5*D9+0.1*(1-D16^4)^2*(5*D9)^(1/3)</f>
        <v>1.1675443249898587</v>
      </c>
      <c r="E17" s="2">
        <f>0.2*E16^4*5*E9+0.1*(1-E16^4)^2*(5*E9)^(1/3)</f>
        <v>0.5419261168744008</v>
      </c>
    </row>
    <row r="18" spans="1:5" ht="12.75">
      <c r="A18" s="5" t="s">
        <v>23</v>
      </c>
      <c r="B18" s="2">
        <f>B12/B7</f>
        <v>0.2</v>
      </c>
      <c r="C18" s="2">
        <f>C12/C7</f>
        <v>0.2</v>
      </c>
      <c r="D18" s="2">
        <f>D12/D7</f>
        <v>0.2</v>
      </c>
      <c r="E18" s="2">
        <f>E12/E7</f>
        <v>0.2</v>
      </c>
    </row>
    <row r="19" spans="1:5" ht="12.75">
      <c r="A19" s="5" t="s">
        <v>58</v>
      </c>
      <c r="B19" s="2">
        <f>0.725*(1/B18)^0.2</f>
        <v>1.0003040045593807</v>
      </c>
      <c r="C19" s="2">
        <f>0.725*(1/C18)^0.2</f>
        <v>1.0003040045593807</v>
      </c>
      <c r="D19" s="2">
        <f>0.725*(1/D18)^0.2</f>
        <v>1.0003040045593807</v>
      </c>
      <c r="E19" s="2">
        <f>0.725*(1/E18)^0.2</f>
        <v>1.0003040045593807</v>
      </c>
    </row>
    <row r="20" spans="1:5" ht="12.75">
      <c r="A20" s="5" t="s">
        <v>57</v>
      </c>
      <c r="B20" s="2">
        <f>0.725*(1/B18)^0.2</f>
        <v>1.0003040045593807</v>
      </c>
      <c r="C20" s="2">
        <f>0.725*(1/C18)^0.2</f>
        <v>1.0003040045593807</v>
      </c>
      <c r="D20" s="2">
        <f>0.725*(1/D18)^0.2</f>
        <v>1.0003040045593807</v>
      </c>
      <c r="E20" s="2">
        <f>0.725*(1/E18)^0.2</f>
        <v>1.0003040045593807</v>
      </c>
    </row>
    <row r="21" spans="1:5" ht="12.75">
      <c r="A21" s="5" t="s">
        <v>123</v>
      </c>
      <c r="B21" s="2">
        <f>1+B15*B18^(1/2)</f>
        <v>1.4472135954999579</v>
      </c>
      <c r="C21" s="2">
        <f>1+C15*C18^(1/2)</f>
        <v>1.4472135954999579</v>
      </c>
      <c r="D21" s="2">
        <f>1+D15*D18^(1/2)</f>
        <v>1.4472135954999579</v>
      </c>
      <c r="E21" s="2">
        <f>1+E15*E18^(1/2)</f>
        <v>1.4472135954999579</v>
      </c>
    </row>
    <row r="22" spans="1:5" ht="12.75">
      <c r="A22" s="5" t="s">
        <v>18</v>
      </c>
      <c r="B22" s="2">
        <f>0.8951*(B3/B4)+0.2664*(B4/B4)-0.1614*(B5/B4)</f>
        <v>0.9414279500000002</v>
      </c>
      <c r="C22" s="2">
        <f>0.8951*(C3/C4)+0.2664*(C4/C4)-0.1614*(C5/C4)</f>
        <v>1.3327274965164886</v>
      </c>
      <c r="D22" s="2">
        <f>0.8951*(D3/D4)+0.2664*(D4/D4)-0.1614*(D5/D4)</f>
        <v>0.6954102134146342</v>
      </c>
      <c r="E22" s="2">
        <f>0.8951*(E3/E4)+0.2664*(E4/E4)-0.1614*(E5/E4)</f>
        <v>0.9414279500000002</v>
      </c>
    </row>
    <row r="23" spans="1:5" ht="12.75">
      <c r="A23" s="5" t="s">
        <v>19</v>
      </c>
      <c r="B23" s="2">
        <f>-0.7502*(B3/B4)+1.7135*(B4/B4)+0.0367*(B5/B4)</f>
        <v>1.0404011999999998</v>
      </c>
      <c r="C23" s="2">
        <f>-0.7502*(C3/C4)+1.7135*(C4/C4)+0.0367*(C5/C4)</f>
        <v>0.7466286576869485</v>
      </c>
      <c r="D23" s="2">
        <f>-0.7502*(D3/D4)+1.7135*(D4/D4)+0.0367*(D5/D4)</f>
        <v>1.3217823170731708</v>
      </c>
      <c r="E23" s="2">
        <f>-0.7502*(E3/E4)+1.7135*(E4/E4)+0.0367*(E5/E4)</f>
        <v>1.0404011999999998</v>
      </c>
    </row>
    <row r="24" spans="1:5" ht="12.75">
      <c r="A24" s="5" t="s">
        <v>20</v>
      </c>
      <c r="B24" s="2">
        <f>0.0389*(B3/B4)-0.0685*(B4/B4)+1.0296*(B5/B4)</f>
        <v>1.08970885</v>
      </c>
      <c r="C24" s="2">
        <f>0.0389*(C3/C4)-0.0685*(C4/C4)+1.0296*(C5/C4)</f>
        <v>0.7472373432419879</v>
      </c>
      <c r="D24" s="2">
        <f>0.0389*(D3/D4)-0.0685*(D4/D4)+1.0296*(D5/D4)</f>
        <v>0.2883080792682927</v>
      </c>
      <c r="E24" s="2">
        <f>0.0389*(E3/E4)-0.0685*(E4/E4)+1.0296*(E5/E4)</f>
        <v>1.08970885</v>
      </c>
    </row>
    <row r="25" spans="1:5" ht="12.75">
      <c r="A25" s="5" t="s">
        <v>229</v>
      </c>
      <c r="B25" s="2">
        <f>0.8951*(B6/B7)+0.2664*(B7/B7)-0.1614*(B8/B7)</f>
        <v>0.9414602299999999</v>
      </c>
      <c r="C25" s="2">
        <f>0.8951*(C6/C7)+0.2664*(C7/C7)-0.1614*(C8/C7)</f>
        <v>0.9414602299999999</v>
      </c>
      <c r="D25" s="2">
        <f>0.8951*(D6/D7)+0.2664*(D7/D7)-0.1614*(D8/D7)</f>
        <v>1.19224123</v>
      </c>
      <c r="E25" s="2">
        <f>0.8951*(E6/E7)+0.2664*(E7/E7)-0.1614*(E8/E7)</f>
        <v>1.19224123</v>
      </c>
    </row>
    <row r="26" spans="1:5" ht="12.75">
      <c r="A26" s="5" t="s">
        <v>230</v>
      </c>
      <c r="B26" s="2">
        <f>-0.7502*(B6/B7)+1.7135*(B7/B7)+0.0367*(B8/B7)</f>
        <v>1.0403938600000002</v>
      </c>
      <c r="C26" s="2">
        <f>-0.7502*(C6/C7)+1.7135*(C7/C7)+0.0367*(C8/C7)</f>
        <v>1.0403938600000002</v>
      </c>
      <c r="D26" s="2">
        <f>-0.7502*(D6/D7)+1.7135*(D7/D7)+0.0367*(D8/D7)</f>
        <v>0.90246316</v>
      </c>
      <c r="E26" s="2">
        <f>-0.7502*(E6/E7)+1.7135*(E7/E7)+0.0367*(E8/E7)</f>
        <v>0.90246316</v>
      </c>
    </row>
    <row r="27" spans="1:5" ht="12.75">
      <c r="A27" s="5" t="s">
        <v>231</v>
      </c>
      <c r="B27" s="2">
        <f>0.0389*(B6/B7)-0.0685*(B7/B7)+1.0296*(B8/B7)</f>
        <v>1.08950293</v>
      </c>
      <c r="C27" s="2">
        <f>0.0389*(C6/C7)-0.0685*(C7/C7)+1.0296*(C8/C7)</f>
        <v>1.08950293</v>
      </c>
      <c r="D27" s="2">
        <f>0.0389*(D6/D7)-0.0685*(D7/D7)+1.0296*(D8/D7)</f>
        <v>0.34056333000000005</v>
      </c>
      <c r="E27" s="2">
        <f>0.0389*(E6/E7)-0.0685*(E7/E7)+1.0296*(E8/E7)</f>
        <v>0.34056333000000005</v>
      </c>
    </row>
    <row r="28" spans="1:5" ht="12.75">
      <c r="A28" s="5" t="s">
        <v>203</v>
      </c>
      <c r="B28" s="2">
        <f>(B27/1)^0.0834</f>
        <v>1.0071747948820478</v>
      </c>
      <c r="C28" s="2">
        <f>(C27/1)^0.0834</f>
        <v>1.0071747948820478</v>
      </c>
      <c r="D28" s="2">
        <f>(D27/1)^0.0834</f>
        <v>0.9140823084533668</v>
      </c>
      <c r="E28" s="2">
        <f>(E27/1)^0.0834</f>
        <v>0.9140823084533668</v>
      </c>
    </row>
    <row r="29" spans="1:5" ht="12.75">
      <c r="A29" s="5" t="s">
        <v>232</v>
      </c>
      <c r="B29" s="2">
        <f>(B11*(1/B25)+1-B11)*B22</f>
        <v>0.9997971060336818</v>
      </c>
      <c r="C29" s="2">
        <f>(C11*(1/C25)+1-C11)*C22</f>
        <v>1.406517565280231</v>
      </c>
      <c r="D29" s="2">
        <f>(D11*(1/D25)+1-D11)*D22</f>
        <v>0.5836027594782217</v>
      </c>
      <c r="E29" s="2">
        <f>(E11*(1/E25)+1-E11)*E22</f>
        <v>0.8062589776424836</v>
      </c>
    </row>
    <row r="30" spans="1:5" ht="12.75">
      <c r="A30" s="5" t="s">
        <v>233</v>
      </c>
      <c r="B30" s="2">
        <f>(B11*(1/B26)+1-B11)*B23</f>
        <v>1.000123402611229</v>
      </c>
      <c r="C30" s="2">
        <f>(C11*(1/C26)+1-C11)*C23</f>
        <v>0.7208161763572742</v>
      </c>
      <c r="D30" s="2">
        <f>(D11*(1/D26)+1-D11)*D23</f>
        <v>1.4642270612051387</v>
      </c>
      <c r="E30" s="2">
        <f>(E11*(1/E26)+1-E11)*E23</f>
        <v>1.1405273615694616</v>
      </c>
    </row>
    <row r="31" spans="1:5" ht="12.75">
      <c r="A31" s="5" t="s">
        <v>234</v>
      </c>
      <c r="B31" s="2">
        <f>IF(B24&gt;=0,(B11*(1/B27^B28)+1-B11)*B24^B28,-(B11*(1/B27^B28)+1-B11)*(ABS(B24))^B28)</f>
        <v>1.000450135922818</v>
      </c>
      <c r="C31" s="2">
        <f>IF(C24&gt;=0,(C11*(1/C27^C28)+1-C11)*C24^C28,-(C11*(1/C27^C28)+1-C11)*(ABS(C24))^C28)</f>
        <v>0.6907556188472186</v>
      </c>
      <c r="D31" s="2">
        <f>IF(D24&gt;=0,(D11*(1/D27^D28)+1-D11)*D24^D28,-(D11*(1/D27^D28)+1-D11)*(ABS(D24))^D28)</f>
        <v>0.857215502271528</v>
      </c>
      <c r="E31" s="2">
        <f>IF(E24&gt;=0,(E11*(1/E27^E28)+1-E11)*E24^E28,-(E11*(1/E27^E28)+1-E11)*(ABS(E24))^E28)</f>
        <v>2.6967362559616928</v>
      </c>
    </row>
    <row r="32" spans="1:5" ht="12.75">
      <c r="A32" s="5" t="s">
        <v>235</v>
      </c>
      <c r="B32" s="2">
        <f>(B11*(1/B25)+1-B11)*B25</f>
        <v>0.9998313874150476</v>
      </c>
      <c r="C32" s="2">
        <f>(C11*(1/C25)+1-C11)*C25</f>
        <v>0.9935867264455314</v>
      </c>
      <c r="D32" s="2">
        <f>(D11*(1/D25)+1-D11)*D25</f>
        <v>1.0005537140088643</v>
      </c>
      <c r="E32" s="2">
        <f>(E11*(1/E25)+1-E11)*E25</f>
        <v>1.0210608206427447</v>
      </c>
    </row>
    <row r="33" spans="1:5" ht="12.75">
      <c r="A33" s="5" t="s">
        <v>236</v>
      </c>
      <c r="B33" s="2">
        <f>(B11*(1/B26)+1-B11)*B26</f>
        <v>1.0001163467699103</v>
      </c>
      <c r="C33" s="2">
        <f>(C11*(1/C26)+1-C11)*C26</f>
        <v>1.0044253141770274</v>
      </c>
      <c r="D33" s="2">
        <f>(D11*(1/D26)+1-D11)*D26</f>
        <v>0.9997190638309564</v>
      </c>
      <c r="E33" s="2">
        <f>(E11*(1/E26)+1-E11)*E26</f>
        <v>0.9893144363813104</v>
      </c>
    </row>
    <row r="34" spans="1:5" ht="12.75">
      <c r="A34" s="5" t="s">
        <v>237</v>
      </c>
      <c r="B34" s="2">
        <f>IF(B27&gt;=0,(B11*(1/B27^B28)+1-B11)*B27^B28,-(B11*(1/B27^B28)+1-B11)*(ABS(B27))^B28)</f>
        <v>1.0002597266679698</v>
      </c>
      <c r="C34" s="2">
        <f>IF(C27&gt;=0,(C11*(1/C27^C28)+1-C11)*C27^C28,-(C11*(1/C27^C28)+1-C11)*(ABS(C27))^C28)</f>
        <v>1.0098788484356167</v>
      </c>
      <c r="D34" s="2">
        <f>IF(D27&gt;=0,(D11*(1/D27^D28)+1-D11)*D27^D28,-(D11*(1/D27^D28)+1-D11)*(ABS(D27))^D28)</f>
        <v>0.9981957339885973</v>
      </c>
      <c r="E34" s="2">
        <f>IF(E27&gt;=0,(E11*(1/E27^E28)+1-E11)*E27^E28,-(E11*(1/E27^E28)+1-E11)*(ABS(E27))^E28)</f>
        <v>0.9313737376161217</v>
      </c>
    </row>
    <row r="35" spans="1:5" ht="12.75">
      <c r="A35" s="5" t="s">
        <v>238</v>
      </c>
      <c r="B35" s="1">
        <f>0.987*B29*B4-0.1471*B30*B4+0.16*B31*B4</f>
        <v>19.99507225757566</v>
      </c>
      <c r="C35" s="1">
        <f>0.987*C29*C4-0.1471*C30*C4+0.16*C31*C4</f>
        <v>59.97059538599879</v>
      </c>
      <c r="D35" s="1">
        <f>0.987*D29*D4-0.1471*D30*D4+0.16*D31*D4</f>
        <v>3.265453877419538</v>
      </c>
      <c r="E35" s="1">
        <f>0.987*E29*E4-0.1471*E30*E4+0.16*E31*E4</f>
        <v>21.189676740002685</v>
      </c>
    </row>
    <row r="36" spans="1:5" ht="12.75">
      <c r="A36" s="5" t="s">
        <v>239</v>
      </c>
      <c r="B36" s="1">
        <f>0.4323*B29*B4+0.5184*B30*B4+0.0493*B31*B4</f>
        <v>19.999969051060333</v>
      </c>
      <c r="C36" s="1">
        <f>0.4323*C29*C4+0.5184*C30*C4+0.0493*C31*C4</f>
        <v>43.73875053012538</v>
      </c>
      <c r="D36" s="1">
        <f>0.4323*D29*D4+0.5184*D30*D4+0.0493*D31*D4</f>
        <v>6.911665237478365</v>
      </c>
      <c r="E36" s="1">
        <f>0.4323*E29*E4+0.5184*E30*E4+0.0493*E31*E4</f>
        <v>21.45488475382732</v>
      </c>
    </row>
    <row r="37" spans="1:5" ht="12.75">
      <c r="A37" s="5" t="s">
        <v>240</v>
      </c>
      <c r="B37" s="1">
        <f>-0.0085*B29*B4+0.04*B30*B4+0.9685*B31*B4</f>
        <v>20.00885234688824</v>
      </c>
      <c r="C37" s="1">
        <f>-0.0085*C29*C4+0.04*C30*C4+0.9685*C31*C4</f>
        <v>29.533737221802607</v>
      </c>
      <c r="D37" s="1">
        <f>-0.0085*D29*D4+0.04*D30*D4+0.9685*D31*D4</f>
        <v>5.797870174503557</v>
      </c>
      <c r="E37" s="1">
        <f>-0.0085*E29*E4+0.04*E30*E4+0.9685*E31*E4</f>
        <v>53.01113914103434</v>
      </c>
    </row>
    <row r="38" spans="1:5" ht="12.75">
      <c r="A38" s="5" t="s">
        <v>241</v>
      </c>
      <c r="B38" s="1">
        <f>0.987*B32*B7-0.1471*B33*B7+0.16*B34*B7</f>
        <v>99.97580210356733</v>
      </c>
      <c r="C38" s="1">
        <f>0.987*C32*C7-0.1471*C33*C7+0.16*C34*C7</f>
        <v>99.44997510359973</v>
      </c>
      <c r="D38" s="1">
        <f>0.987*D32*D7-0.1471*D33*D7+0.16*D34*D7</f>
        <v>100.01991588753909</v>
      </c>
      <c r="E38" s="1">
        <f>0.987*E32*E7-0.1471*E33*E7+0.16*E34*E7</f>
        <v>101.12786744012777</v>
      </c>
    </row>
    <row r="39" spans="1:5" ht="12.75">
      <c r="A39" s="5" t="s">
        <v>242</v>
      </c>
      <c r="B39" s="1">
        <f>0.4323*B32*B7+0.5184*B33*B7+0.0493*B34*B7</f>
        <v>100.00002274697775</v>
      </c>
      <c r="C39" s="1">
        <f>0.4323*C32*C7+0.5184*C33*C7+0.0493*C34*C7</f>
        <v>100.00086519396501</v>
      </c>
      <c r="D39" s="1">
        <f>0.4323*D32*D7+0.5184*D33*D7+0.0493*D34*D7</f>
        <v>100.00047829416377</v>
      </c>
      <c r="E39" s="1">
        <f>0.4323*E32*E7+0.5184*E33*E7+0.0493*E34*E7</f>
        <v>100.01819218484046</v>
      </c>
    </row>
    <row r="40" spans="1:5" ht="12.75">
      <c r="A40" s="5" t="s">
        <v>243</v>
      </c>
      <c r="B40" s="1">
        <f>-0.0085*B32*B7+0.04*B33*B7+0.9685*B34*B7</f>
        <v>100.02576323556974</v>
      </c>
      <c r="C40" s="1">
        <f>-0.0085*C32*C7+0.04*C33*C7+0.9685*C34*C7</f>
        <v>100.9799190102189</v>
      </c>
      <c r="D40" s="1">
        <f>-0.0085*D32*D7+0.04*D33*D7+0.9685*D34*D7</f>
        <v>99.82366243521194</v>
      </c>
      <c r="E40" s="1">
        <f>-0.0085*E32*E7+0.04*E33*E7+0.9685*E34*E7</f>
        <v>93.2929025361003</v>
      </c>
    </row>
    <row r="41" spans="1:5" ht="12.75">
      <c r="A41" s="5" t="s">
        <v>244</v>
      </c>
      <c r="B41" s="1">
        <f>0.38971*B35+0.68898*B36-0.07868*B37</f>
        <v>19.997561783646194</v>
      </c>
      <c r="C41" s="1">
        <f>0.38971*C35+0.68898*C36-0.07868*C37</f>
        <v>51.18255062351194</v>
      </c>
      <c r="D41" s="1">
        <f>0.38971*D35+0.68898*D36-0.07868*D37</f>
        <v>5.578402720557072</v>
      </c>
      <c r="E41" s="1">
        <f>0.38971*E35+0.68898*E36-0.07868*E37</f>
        <v>18.868898992421812</v>
      </c>
    </row>
    <row r="42" spans="1:5" ht="12.75">
      <c r="A42" s="5" t="s">
        <v>245</v>
      </c>
      <c r="B42" s="1">
        <f>-0.22981*B35+1.1834*B36+0.04641*B37</f>
        <v>20.001506656930417</v>
      </c>
      <c r="C42" s="1">
        <f>-0.22981*C35+1.1834*C36+0.04641*C37</f>
        <v>39.34925559615786</v>
      </c>
      <c r="D42" s="1">
        <f>-0.22981*D35+1.1834*D36+0.04641*D37</f>
        <v>7.697909841260824</v>
      </c>
      <c r="E42" s="1">
        <f>-0.22981*E35+1.1834*E36+0.04641*E37</f>
        <v>22.980357973594636</v>
      </c>
    </row>
    <row r="43" spans="1:5" ht="12.75">
      <c r="A43" s="5" t="s">
        <v>246</v>
      </c>
      <c r="B43" s="1">
        <f>B37</f>
        <v>20.00885234688824</v>
      </c>
      <c r="C43" s="1">
        <f>C37</f>
        <v>29.533737221802607</v>
      </c>
      <c r="D43" s="1">
        <f>D37</f>
        <v>5.797870174503557</v>
      </c>
      <c r="E43" s="1">
        <f>E37</f>
        <v>53.01113914103434</v>
      </c>
    </row>
    <row r="44" spans="1:5" ht="12.75">
      <c r="A44" s="5" t="s">
        <v>247</v>
      </c>
      <c r="B44" s="1">
        <f>0.38971*B38+0.68898*B39-0.07868*B40</f>
        <v>99.98955845861934</v>
      </c>
      <c r="C44" s="1">
        <f>0.38971*C38+0.68898*C39-0.07868*C40</f>
        <v>99.71014587123784</v>
      </c>
      <c r="D44" s="1">
        <f>0.38971*D38+0.68898*D39-0.07868*D40</f>
        <v>100.02296519524334</v>
      </c>
      <c r="E44" s="1">
        <f>0.38971*E38+0.68898*E39-0.07868*E40</f>
        <v>100.9807897000632</v>
      </c>
    </row>
    <row r="45" spans="1:5" ht="12.75">
      <c r="A45" s="5" t="s">
        <v>248</v>
      </c>
      <c r="B45" s="1">
        <f>-0.22981*B38+1.1834*B39+0.04641*B40</f>
        <v>100.00678350911546</v>
      </c>
      <c r="C45" s="1">
        <f>-0.22981*C38+1.1834*C39+0.04641*C40</f>
        <v>100.1729031332442</v>
      </c>
      <c r="D45" s="1">
        <f>-0.22981*D38+1.1834*D39+0.04641*D40</f>
        <v>99.98780531681624</v>
      </c>
      <c r="E45" s="1">
        <f>-0.22981*E38+1.1834*E39+0.04641*E40</f>
        <v>99.45105702182485</v>
      </c>
    </row>
    <row r="46" spans="1:5" ht="12.75">
      <c r="A46" s="5" t="s">
        <v>249</v>
      </c>
      <c r="B46" s="1">
        <f>B40</f>
        <v>100.02576323556974</v>
      </c>
      <c r="C46" s="1">
        <f>C40</f>
        <v>100.9799190102189</v>
      </c>
      <c r="D46" s="1">
        <f>D40</f>
        <v>99.82366243521194</v>
      </c>
      <c r="E46" s="1">
        <f>E40</f>
        <v>93.2929025361003</v>
      </c>
    </row>
    <row r="47" spans="1:5" ht="12.75">
      <c r="A47" s="5" t="s">
        <v>250</v>
      </c>
      <c r="B47" s="1">
        <f>((40*(B17*B41/100)^0.73)/(((B17*B41/100)^0.73)+2))+1</f>
        <v>6.896470640622489</v>
      </c>
      <c r="C47" s="1">
        <f>((40*(C17*C41/100)^0.73)/(((C17*C41/100)^0.73)+2))+1</f>
        <v>7.557067078016962</v>
      </c>
      <c r="D47" s="1">
        <f>((40*(D17*D41/100)^0.73)/(((D17*D41/100)^0.73)+2))+1</f>
        <v>3.5496889379185657</v>
      </c>
      <c r="E47" s="1">
        <f>((40*(E17*E41/100)^0.73)/(((E17*E41/100)^0.73)+2))+1</f>
        <v>4.458062386595495</v>
      </c>
    </row>
    <row r="48" spans="1:5" ht="12.75">
      <c r="A48" s="5" t="s">
        <v>251</v>
      </c>
      <c r="B48" s="1">
        <f>((40*(B17*B42/100)^0.73)/(((B17*B42/100)^0.73)+2))+1</f>
        <v>6.89719455893352</v>
      </c>
      <c r="C48" s="1">
        <f>((40*(C17*C42/100)^0.73)/(((C17*C42/100)^0.73)+2))+1</f>
        <v>6.571454624445539</v>
      </c>
      <c r="D48" s="1">
        <f>((40*(D17*D42/100)^0.73)/(((D17*D42/100)^0.73)+2))+1</f>
        <v>4.171843214972238</v>
      </c>
      <c r="E48" s="1">
        <f>((40*(E17*E42/100)^0.73)/(((E17*E42/100)^0.73)+2))+1</f>
        <v>4.940541623775473</v>
      </c>
    </row>
    <row r="49" spans="1:5" ht="12.75">
      <c r="A49" s="5" t="s">
        <v>252</v>
      </c>
      <c r="B49" s="1">
        <f>((40*(B17*B43/100)^0.73)/(((B17*B43/100)^0.73)+2))+1</f>
        <v>6.898542371872593</v>
      </c>
      <c r="C49" s="1">
        <f>((40*(C17*C43/100)^0.73)/(((C17*C43/100)^0.73)+2))+1</f>
        <v>5.640689278941009</v>
      </c>
      <c r="D49" s="1">
        <f>((40*(D17*D43/100)^0.73)/(((D17*D43/100)^0.73)+2))+1</f>
        <v>3.6177659650408844</v>
      </c>
      <c r="E49" s="1">
        <f>((40*(E17*E43/100)^0.73)/(((E17*E43/100)^0.73)+2))+1</f>
        <v>7.698763342602025</v>
      </c>
    </row>
    <row r="50" spans="1:5" ht="12.75">
      <c r="A50" s="5" t="s">
        <v>253</v>
      </c>
      <c r="B50" s="1">
        <f>((40*(B17*B44/100)^0.73)/(((B17*B44/100)^0.73)+2))+1</f>
        <v>15.355974213406155</v>
      </c>
      <c r="C50" s="1">
        <f>((40*(C17*C44/100)^0.73)/(((C17*C44/100)^0.73)+2))+1</f>
        <v>10.674591731758598</v>
      </c>
      <c r="D50" s="1">
        <f>((40*(D17*D44/100)^0.73)/(((D17*D44/100)^0.73)+2))+1</f>
        <v>15.35821863039735</v>
      </c>
      <c r="E50" s="1">
        <f>((40*(E17*E44/100)^0.73)/(((E17*E44/100)^0.73)+2))+1</f>
        <v>10.742554097055068</v>
      </c>
    </row>
    <row r="51" spans="1:5" ht="12.75">
      <c r="A51" s="5" t="s">
        <v>254</v>
      </c>
      <c r="B51" s="1">
        <f>((40*(B17*B45/100)^0.73)/(((B17*B45/100)^0.73)+2))+1</f>
        <v>15.357131545233214</v>
      </c>
      <c r="C51" s="1">
        <f>((40*(C17*C45/100)^0.73)/(((C17*C45/100)^0.73)+2))+1</f>
        <v>10.69940528196528</v>
      </c>
      <c r="D51" s="1">
        <f>((40*(D17*D45/100)^0.73)/(((D17*D45/100)^0.73)+2))+1</f>
        <v>15.355856412898742</v>
      </c>
      <c r="E51" s="1">
        <f>((40*(E17*E45/100)^0.73)/(((E17*E45/100)^0.73)+2))+1</f>
        <v>10.660667751780133</v>
      </c>
    </row>
    <row r="52" spans="1:5" ht="12.75">
      <c r="A52" s="5" t="s">
        <v>255</v>
      </c>
      <c r="B52" s="1">
        <f>((40*(B17*B46/100)^0.73)/(((B17*B46/100)^0.73)+2))+1</f>
        <v>15.358406588496564</v>
      </c>
      <c r="C52" s="1">
        <f>((40*(C17*C46/100)^0.73)/(((C17*C46/100)^0.73)+2))+1</f>
        <v>10.742507710315511</v>
      </c>
      <c r="D52" s="1">
        <f>((40*(D17*D46/100)^0.73)/(((D17*D46/100)^0.73)+2))+1</f>
        <v>15.344819735019223</v>
      </c>
      <c r="E52" s="1">
        <f>((40*(E17*E46/100)^0.73)/(((E17*E46/100)^0.73)+2))+1</f>
        <v>10.32288389175172</v>
      </c>
    </row>
    <row r="53" spans="1:5" ht="12.75">
      <c r="A53" s="5" t="s">
        <v>256</v>
      </c>
      <c r="B53" s="2">
        <f>B47-12*B48/11+B49/11</f>
        <v>-0.0006013898620238489</v>
      </c>
      <c r="C53" s="2">
        <f>C47-12*C48/11+C49/11</f>
        <v>0.9009974221619208</v>
      </c>
      <c r="D53" s="2">
        <f>D47-12*D48/11+D49/11</f>
        <v>-0.6725249361383413</v>
      </c>
      <c r="E53" s="2">
        <f>E47-12*E48/11+E49/11</f>
        <v>-0.2317318081957448</v>
      </c>
    </row>
    <row r="54" spans="1:5" ht="12.75">
      <c r="A54" s="5" t="s">
        <v>257</v>
      </c>
      <c r="B54" s="2">
        <f>(1/9)*(B47+B48-2*B49)</f>
        <v>-0.00037994935435293873</v>
      </c>
      <c r="C54" s="2">
        <f>(1/9)*(C47+C48-2*C49)</f>
        <v>0.3163492382867202</v>
      </c>
      <c r="D54" s="2">
        <f>(1/9)*(D47+D48-2*D49)</f>
        <v>0.05400002475655944</v>
      </c>
      <c r="E54" s="2">
        <f>(1/9)*(E47+E48-2*E49)</f>
        <v>-0.6665469638703426</v>
      </c>
    </row>
    <row r="55" spans="1:5" ht="12.75">
      <c r="A55" s="5" t="s">
        <v>258</v>
      </c>
      <c r="B55" s="1">
        <f>IF(B54&gt;=0,(360/(2*PI()))*ATAN2(B53,B54),360+(360/(2*PI()))*ATAN2(B53,B54))</f>
        <v>212.2841007572217</v>
      </c>
      <c r="C55" s="1">
        <f>IF(C54&gt;=0,(360/(2*PI()))*ATAN2(C53,C54),360+(360/(2*PI()))*ATAN2(C53,C54))</f>
        <v>19.346686230391576</v>
      </c>
      <c r="D55" s="1">
        <f>IF(D54&gt;=0,(360/(2*PI()))*ATAN2(D53,D54),360+(360/(2*PI()))*ATAN2(D53,D54))</f>
        <v>175.40931526216278</v>
      </c>
      <c r="E55" s="1">
        <f>IF(E54&gt;=0,(360/(2*PI()))*ATAN2(E53,E54),360+(360/(2*PI()))*ATAN2(E53,E54))</f>
        <v>250.82947450396648</v>
      </c>
    </row>
    <row r="56" spans="1:5" ht="12.75">
      <c r="A56" s="5" t="s">
        <v>32</v>
      </c>
      <c r="B56" s="1">
        <f>IF(B55&lt;20.14,385.9+(14.1*(B55)/0.856)/((B55)/0.856+(20.14-B55)/0.8),IF(B55&lt;90,(100*(B55-20.14)/0.8)/((B55-20.14)/0.8+(90-B55)/0.7),IF(B55&lt;164.25,100+(100*(B55-90)/0.7)/((B55-90)/0.7+(164.25-B55)/1),IF(B55&lt;237.53,200+(100*(B55-164.25)/1)/((B55-164.25)/1+(237.53-B55)/1.2),300+(85.9*(B55-237.53)/1.2)/((B55-237.53)/1.2+(360-B55)/0.856)))))</f>
        <v>269.5417206298288</v>
      </c>
      <c r="C56" s="1">
        <f>IF(C55&lt;20.14,385.9+(14.1*(C55)/0.856)/((C55)/0.856+(20.14-C55)/0.8),IF(C55&lt;90,(100*(C55-20.14)/0.8)/((C55-20.14)/0.8+(90-C55)/0.7),IF(C55&lt;164.25,100+(100*(C55-90)/0.7)/((C55-90)/0.7+(164.25-C55)/1),IF(C55&lt;237.53,200+(100*(C55-164.25)/1)/((C55-164.25)/1+(237.53-C55)/1.2),300+(85.9*(C55-237.53)/1.2)/((C55-237.53)/1.2+(360-C55)/0.856)))))</f>
        <v>399.4073577827267</v>
      </c>
      <c r="D56" s="1">
        <f>IF(D55&lt;20.14,385.9+(14.1*(D55)/0.856)/((D55)/0.856+(20.14-D55)/0.8),IF(D55&lt;90,(100*(D55-20.14)/0.8)/((D55-20.14)/0.8+(90-D55)/0.7),IF(D55&lt;164.25,100+(100*(D55-90)/0.7)/((D55-90)/0.7+(164.25-D55)/1),IF(D55&lt;237.53,200+(100*(D55-164.25)/1)/((D55-164.25)/1+(237.53-D55)/1.2),300+(85.9*(D55-237.53)/1.2)/((D55-237.53)/1.2+(360-D55)/0.856)))))</f>
        <v>217.73387355745282</v>
      </c>
      <c r="E56" s="1">
        <f>IF(E55&lt;20.14,385.9+(14.1*(E55)/0.856)/((E55)/0.856+(20.14-E55)/0.8),IF(E55&lt;90,(100*(E55-20.14)/0.8)/((E55-20.14)/0.8+(90-E55)/0.7),IF(E55&lt;164.25,100+(100*(E55-90)/0.7)/((E55-90)/0.7+(164.25-E55)/1),IF(E55&lt;237.53,200+(100*(E55-164.25)/1)/((E55-164.25)/1+(237.53-E55)/1.2),300+(85.9*(E55-237.53)/1.2)/((E55-237.53)/1.2+(360-E55)/0.856)))))</f>
        <v>306.86791684843723</v>
      </c>
    </row>
    <row r="57" spans="1:5" ht="12.75">
      <c r="A57" s="5" t="s">
        <v>33</v>
      </c>
      <c r="B57" s="9">
        <f>IF(B56&gt;300,B56-300,IF(B56&lt;100,100-B56,0))</f>
        <v>0</v>
      </c>
      <c r="C57" s="9">
        <f>IF(C56&gt;300,C56-300,IF(C56&lt;100,100-C56,0))</f>
        <v>99.4073577827267</v>
      </c>
      <c r="D57" s="9">
        <f>IF(D56&gt;300,D56-300,IF(D56&lt;100,100-D56,0))</f>
        <v>0</v>
      </c>
      <c r="E57" s="9">
        <f>IF(E56&gt;300,E56-300,IF(E56&lt;100,100-E56,0))</f>
        <v>6.867916848437233</v>
      </c>
    </row>
    <row r="58" spans="1:5" ht="12.75">
      <c r="A58" s="5" t="s">
        <v>34</v>
      </c>
      <c r="B58" s="9">
        <f>IF(B56&lt;=100,B56,IF(B56&lt;200,200-B56,0))</f>
        <v>0</v>
      </c>
      <c r="C58" s="9">
        <f>IF(C56&lt;=100,C56,IF(C56&lt;200,200-C56,0))</f>
        <v>0</v>
      </c>
      <c r="D58" s="9">
        <f>IF(D56&lt;=100,D56,IF(D56&lt;200,200-D56,0))</f>
        <v>0</v>
      </c>
      <c r="E58" s="9">
        <f>IF(E56&lt;=100,E56,IF(E56&lt;200,200-E56,0))</f>
        <v>0</v>
      </c>
    </row>
    <row r="59" spans="1:5" ht="12.75">
      <c r="A59" s="5" t="s">
        <v>35</v>
      </c>
      <c r="B59" s="9">
        <f>IF(B56&gt;100,IF(B56&lt;=200,B56-100,IF(B56&lt;300,300-B56,0)),0)</f>
        <v>30.458279370171226</v>
      </c>
      <c r="C59" s="9">
        <f>IF(C56&gt;100,IF(C56&lt;=200,C56-100,IF(C56&lt;300,300-C56,0)),0)</f>
        <v>0</v>
      </c>
      <c r="D59" s="9">
        <f>IF(D56&gt;100,IF(D56&lt;=200,D56-100,IF(D56&lt;300,300-D56,0)),0)</f>
        <v>82.26612644254718</v>
      </c>
      <c r="E59" s="9">
        <f>IF(E56&gt;100,IF(E56&lt;=200,E56-100,IF(E56&lt;300,300-E56,0)),0)</f>
        <v>0</v>
      </c>
    </row>
    <row r="60" spans="1:5" ht="12.75">
      <c r="A60" s="5" t="s">
        <v>36</v>
      </c>
      <c r="B60" s="9">
        <f>IF(B56&gt;300,400-B56,IF(B56&gt;200,B56-200,0))</f>
        <v>69.54172062982877</v>
      </c>
      <c r="C60" s="9">
        <f>IF(C56&gt;300,400-C56,IF(C56&gt;200,C56-200,0))</f>
        <v>0.5926422172732941</v>
      </c>
      <c r="D60" s="9">
        <f>IF(D56&gt;300,400-D56,IF(D56&gt;200,D56-200,0))</f>
        <v>17.733873557452824</v>
      </c>
      <c r="E60" s="9">
        <f>IF(E56&gt;300,400-E56,IF(E56&gt;200,E56-200,0))</f>
        <v>93.13208315156277</v>
      </c>
    </row>
    <row r="61" spans="1:5" ht="12.75">
      <c r="A61" s="5" t="s">
        <v>259</v>
      </c>
      <c r="B61" s="2">
        <f>IF(B55&lt;20.14,0.856-(B55/20.14)*0.056,IF(B55&lt;90,0.7+0.1*(90-B55)/(90-20.14),IF(B55&lt;164.25,1-0.3*(164.25-B55)/(164.25-90),IF(B55&lt;237.53,1.2-0.2*(237.53-B55)/(237.53-164.25),0.856+0.344*(360-B55)/(360-237.53)))))</f>
        <v>1.1310974365644697</v>
      </c>
      <c r="C61" s="2">
        <f>IF(C55&lt;20.14,0.856-(C55/20.14)*0.056,IF(C55&lt;90,0.7+0.1*(90-C55)/(90-20.14),IF(C55&lt;164.25,1-0.3*(164.25-C55)/(164.25-90),IF(C55&lt;237.53,1.2-0.2*(237.53-C55)/(237.53-164.25),0.856+0.344*(360-C55)/(360-237.53)))))</f>
        <v>0.8022058376910661</v>
      </c>
      <c r="D61" s="2">
        <f>IF(D55&lt;20.14,0.856-(D55/20.14)*0.056,IF(D55&lt;90,0.7+0.1*(90-D55)/(90-20.14),IF(D55&lt;164.25,1-0.3*(164.25-D55)/(164.25-90),IF(D55&lt;237.53,1.2-0.2*(237.53-D55)/(237.53-164.25),0.856+0.344*(360-D55)/(360-237.53)))))</f>
        <v>1.0304566464578677</v>
      </c>
      <c r="E61" s="2">
        <f>IF(E55&lt;20.14,0.856-(E55/20.14)*0.056,IF(E55&lt;90,0.7+0.1*(90-E55)/(90-20.14),IF(E55&lt;164.25,1-0.3*(164.25-E55)/(164.25-90),IF(E55&lt;237.53,1.2-0.2*(237.53-E55)/(237.53-164.25),0.856+0.344*(360-E55)/(360-237.53)))))</f>
        <v>1.1626437557821143</v>
      </c>
    </row>
    <row r="62" spans="1:5" ht="12.75">
      <c r="A62" s="5" t="s">
        <v>117</v>
      </c>
      <c r="B62" s="2">
        <f>(2*B47+B48+(1/20)*B49-2.05)*B19</f>
        <v>18.990834504471728</v>
      </c>
      <c r="C62" s="2">
        <f>(2*C47+C48+(1/20)*C49-2.05)*C19</f>
        <v>19.923678292704846</v>
      </c>
      <c r="D62" s="2">
        <f>(2*D47+D48+(1/20)*D49-2.05)*D19</f>
        <v>9.404967673183487</v>
      </c>
      <c r="E62" s="2">
        <f>(2*E47+E48+(1/20)*E49-2.05)*E19</f>
        <v>12.195310867470218</v>
      </c>
    </row>
    <row r="63" spans="1:5" ht="12.75">
      <c r="A63" s="5" t="s">
        <v>260</v>
      </c>
      <c r="B63" s="2">
        <f>(2*B50+B51+(1/20)*B52-2.05)*B19</f>
        <v>44.80061575376298</v>
      </c>
      <c r="C63" s="2">
        <f>(2*C50+C51+(1/20)*C52-2.05)*C19</f>
        <v>30.544997127318023</v>
      </c>
      <c r="D63" s="2">
        <f>(2*D50+D51+(1/20)*D52-2.05)*D19</f>
        <v>44.803150883193716</v>
      </c>
      <c r="E63" s="2">
        <f>(2*E50+E51+(1/20)*E52-2.05)*E19</f>
        <v>30.621226303771966</v>
      </c>
    </row>
    <row r="64" spans="1:5" ht="12.75">
      <c r="A64" s="5" t="s">
        <v>124</v>
      </c>
      <c r="B64" s="2">
        <f>100*(B62/B63)^(B13*B21)</f>
        <v>42.44146172093929</v>
      </c>
      <c r="C64" s="2">
        <f>100*(C62/C63)^(C13*C21)</f>
        <v>65.2669665455186</v>
      </c>
      <c r="D64" s="2">
        <f>100*(D62/D63)^(D13*D21)</f>
        <v>21.038424593626974</v>
      </c>
      <c r="E64" s="2">
        <f>100*(E62/E63)^(E13*E21)</f>
        <v>39.8785263760775</v>
      </c>
    </row>
    <row r="65" spans="1:5" ht="12.75">
      <c r="A65" s="5" t="s">
        <v>24</v>
      </c>
      <c r="B65" s="2">
        <f>(1.24/B13)*(B64/100)^0.67*(B63+3)^0.9</f>
        <v>32.861112295020924</v>
      </c>
      <c r="C65" s="2">
        <f>(1.24/C13)*(C64/100)^0.67*(C63+3)^0.9</f>
        <v>31.877347327539972</v>
      </c>
      <c r="D65" s="2">
        <f>(1.24/D13)*(D64/100)^0.67*(D63+3)^0.9</f>
        <v>20.535359969759405</v>
      </c>
      <c r="E65" s="2">
        <f>(1.24/E13)*(E64/100)^0.67*(E63+3)^0.9</f>
        <v>22.96254325226299</v>
      </c>
    </row>
    <row r="66" spans="1:5" ht="12.75">
      <c r="A66" s="5" t="s">
        <v>108</v>
      </c>
      <c r="B66" s="2">
        <f>(50*(B53^2+B54^2)^(1/2)*100*B61*(10/13)*B14*B20)/(B47+B48+(21/20)*B49)</f>
        <v>0.14715017091912055</v>
      </c>
      <c r="C66" s="2">
        <f>(50*(C53^2+C54^2)^(1/2)*100*C61*(10/13)*C14*C20)/(C47+C48+(21/20)*C49)</f>
        <v>146.98409718837456</v>
      </c>
      <c r="D66" s="2">
        <f>(50*(D53^2+D54^2)^(1/2)*100*D61*(10/13)*D14*D20)/(D47+D48+(21/20)*D49)</f>
        <v>232.18425583422976</v>
      </c>
      <c r="E66" s="2">
        <f>(50*(E53^2+E54^2)^(1/2)*100*E61*(10/13)*E14*E20)/(E47+E48+(21/20)*E49)</f>
        <v>180.55708049400576</v>
      </c>
    </row>
    <row r="67" spans="1:5" ht="12.75">
      <c r="A67" s="5" t="s">
        <v>43</v>
      </c>
      <c r="B67" s="2">
        <f>2.44*B66^0.69*(B64/100)^(0.67*B18)*(1.64-0.29^B18)</f>
        <v>0.4982159597069227</v>
      </c>
      <c r="C67" s="2">
        <f>2.44*C66^0.69*(C64/100)^(0.67*C18)*(1.64-0.29^C18)</f>
        <v>61.96183334069994</v>
      </c>
      <c r="D67" s="2">
        <f>2.44*D66^0.69*(D64/100)^(0.67*D18)*(1.64-0.29^D18)</f>
        <v>72.98728002417145</v>
      </c>
      <c r="E67" s="2">
        <f>2.44*E66^0.69*(E64/100)^(0.67*E18)*(1.64-0.29^E18)</f>
        <v>66.85006902313413</v>
      </c>
    </row>
    <row r="68" spans="1:5" ht="12.75">
      <c r="A68" s="5" t="s">
        <v>46</v>
      </c>
      <c r="B68" s="2">
        <f>B67*B17^0.15</f>
        <v>0.5099277445811994</v>
      </c>
      <c r="C68" s="2">
        <f>C67*C17^0.15</f>
        <v>56.52170726952607</v>
      </c>
      <c r="D68" s="2">
        <f>D67*D17^0.15</f>
        <v>74.70302458342753</v>
      </c>
      <c r="E68" s="2">
        <f>E67*E17^0.15</f>
        <v>60.98076555445118</v>
      </c>
    </row>
  </sheetData>
  <printOptions gridLines="1"/>
  <pageMargins left="0.75" right="0.75" top="1" bottom="1" header="0.5" footer="0.5"/>
  <pageSetup orientation="landscape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7"/>
  <sheetViews>
    <sheetView workbookViewId="0" topLeftCell="A1">
      <selection activeCell="A1" sqref="A1"/>
    </sheetView>
  </sheetViews>
  <sheetFormatPr defaultColWidth="11.00390625" defaultRowHeight="12.75"/>
  <sheetData>
    <row r="1" ht="15.75">
      <c r="A1" s="7" t="s">
        <v>261</v>
      </c>
    </row>
    <row r="2" spans="1:5" ht="12.75">
      <c r="A2" s="5"/>
      <c r="B2" s="6" t="s">
        <v>274</v>
      </c>
      <c r="C2" s="6" t="s">
        <v>275</v>
      </c>
      <c r="D2" s="6" t="s">
        <v>276</v>
      </c>
      <c r="E2" s="6" t="s">
        <v>277</v>
      </c>
    </row>
    <row r="3" spans="1:5" ht="12.75">
      <c r="A3" s="5" t="s">
        <v>278</v>
      </c>
      <c r="B3" s="2">
        <v>19.01</v>
      </c>
      <c r="C3">
        <v>57.06</v>
      </c>
      <c r="D3">
        <v>3.53</v>
      </c>
      <c r="E3">
        <v>19.01</v>
      </c>
    </row>
    <row r="4" spans="1:5" ht="12.75">
      <c r="A4" s="5" t="s">
        <v>279</v>
      </c>
      <c r="B4" s="2">
        <v>20</v>
      </c>
      <c r="C4">
        <v>43.06</v>
      </c>
      <c r="D4">
        <v>6.56</v>
      </c>
      <c r="E4" s="2">
        <v>20</v>
      </c>
    </row>
    <row r="5" spans="1:5" ht="12.75">
      <c r="A5" s="5" t="s">
        <v>280</v>
      </c>
      <c r="B5" s="2">
        <v>21.78</v>
      </c>
      <c r="C5">
        <v>31.96</v>
      </c>
      <c r="D5">
        <v>2.14</v>
      </c>
      <c r="E5">
        <v>21.78</v>
      </c>
    </row>
    <row r="6" spans="1:5" ht="12.75">
      <c r="A6" s="5" t="s">
        <v>222</v>
      </c>
      <c r="B6" s="2">
        <v>95.05</v>
      </c>
      <c r="C6">
        <v>95.05</v>
      </c>
      <c r="D6">
        <v>109.85</v>
      </c>
      <c r="E6">
        <v>109.85</v>
      </c>
    </row>
    <row r="7" spans="1:5" ht="12.75">
      <c r="A7" s="5" t="s">
        <v>223</v>
      </c>
      <c r="B7" s="2">
        <v>100</v>
      </c>
      <c r="C7" s="2">
        <v>100</v>
      </c>
      <c r="D7" s="2">
        <v>100</v>
      </c>
      <c r="E7" s="2">
        <v>100</v>
      </c>
    </row>
    <row r="8" spans="1:5" ht="12.75">
      <c r="A8" s="5" t="s">
        <v>224</v>
      </c>
      <c r="B8" s="2">
        <v>108.88</v>
      </c>
      <c r="C8">
        <v>108.88</v>
      </c>
      <c r="D8">
        <v>35.58</v>
      </c>
      <c r="E8">
        <v>35.58</v>
      </c>
    </row>
    <row r="9" spans="1:5" ht="12.75">
      <c r="A9" s="5" t="s">
        <v>197</v>
      </c>
      <c r="B9" s="2">
        <v>318.30988618379</v>
      </c>
      <c r="C9" s="2">
        <v>31.830988618379067</v>
      </c>
      <c r="D9" s="2">
        <v>318.3098861837907</v>
      </c>
      <c r="E9" s="2">
        <v>31.830988618379067</v>
      </c>
    </row>
    <row r="10" spans="1:5" ht="12.75">
      <c r="A10" s="5" t="s">
        <v>226</v>
      </c>
      <c r="B10" s="1">
        <v>1</v>
      </c>
      <c r="C10" s="1">
        <v>1</v>
      </c>
      <c r="D10" s="1">
        <v>1</v>
      </c>
      <c r="E10" s="1">
        <v>1</v>
      </c>
    </row>
    <row r="11" spans="1:5" ht="12.75">
      <c r="A11" s="5" t="s">
        <v>130</v>
      </c>
      <c r="B11" s="3">
        <f>B10-(B10/(1+2*B9^(1/4)+(B9^2/300)))</f>
        <v>0.9971196917078387</v>
      </c>
      <c r="C11" s="3">
        <f>C10-(C10/(1+2*C9^(1/4)+(C9^2/300)))</f>
        <v>0.8904458703122895</v>
      </c>
      <c r="D11" s="3">
        <f>D10-(D10/(1+2*D9^(1/4)+(D9^2/300)))</f>
        <v>0.9971196917078387</v>
      </c>
      <c r="E11" s="3">
        <f>E10-(E10/(1+2*E9^(1/4)+(E9^2/300)))</f>
        <v>0.8904458703122895</v>
      </c>
    </row>
    <row r="12" spans="1:5" ht="12.75">
      <c r="A12" s="5" t="s">
        <v>262</v>
      </c>
      <c r="B12" s="3">
        <v>0.345</v>
      </c>
      <c r="C12" s="3">
        <v>0.345</v>
      </c>
      <c r="D12" s="3">
        <v>0.345</v>
      </c>
      <c r="E12" s="3">
        <v>0.345</v>
      </c>
    </row>
    <row r="13" spans="1:5" ht="12.75">
      <c r="A13" s="5" t="s">
        <v>18</v>
      </c>
      <c r="B13" s="2">
        <f>0.8951*(B3/B4)+0.2664*(B4/B4)-0.1614*(B5/B4)</f>
        <v>0.9414279500000002</v>
      </c>
      <c r="C13" s="2">
        <f>0.8951*(C3/C4)+0.2664*(C4/C4)-0.1614*(C5/C4)</f>
        <v>1.3327274965164886</v>
      </c>
      <c r="D13" s="2">
        <f>0.8951*(D3/D4)+0.2664*(D4/D4)-0.1614*(D5/D4)</f>
        <v>0.6954102134146342</v>
      </c>
      <c r="E13" s="2">
        <f>0.8951*(E3/E4)+0.2664*(E4/E4)-0.1614*(E5/E4)</f>
        <v>0.9414279500000002</v>
      </c>
    </row>
    <row r="14" spans="1:5" ht="12.75">
      <c r="A14" s="5" t="s">
        <v>19</v>
      </c>
      <c r="B14" s="2">
        <f>-0.7502*(B3/B4)+1.7135*(B4/B4)+0.0367*(B5/B4)</f>
        <v>1.0404011999999998</v>
      </c>
      <c r="C14" s="2">
        <f>-0.7502*(C3/C4)+1.7135*(C4/C4)+0.0367*(C5/C4)</f>
        <v>0.7466286576869485</v>
      </c>
      <c r="D14" s="2">
        <f>-0.7502*(D3/D4)+1.7135*(D4/D4)+0.0367*(D5/D4)</f>
        <v>1.3217823170731708</v>
      </c>
      <c r="E14" s="2">
        <f>-0.7502*(E3/E4)+1.7135*(E4/E4)+0.0367*(E5/E4)</f>
        <v>1.0404011999999998</v>
      </c>
    </row>
    <row r="15" spans="1:5" ht="12.75">
      <c r="A15" s="5" t="s">
        <v>20</v>
      </c>
      <c r="B15" s="2">
        <f>0.0389*(B3/B4)-0.0685*(B4/B4)+1.0296*(B5/B4)</f>
        <v>1.08970885</v>
      </c>
      <c r="C15" s="2">
        <f>0.0389*(C3/C4)-0.0685*(C4/C4)+1.0296*(C5/C4)</f>
        <v>0.7472373432419879</v>
      </c>
      <c r="D15" s="2">
        <f>0.0389*(D3/D4)-0.0685*(D4/D4)+1.0296*(D5/D4)</f>
        <v>0.2883080792682927</v>
      </c>
      <c r="E15" s="2">
        <f>0.0389*(E3/E4)-0.0685*(E4/E4)+1.0296*(E5/E4)</f>
        <v>1.08970885</v>
      </c>
    </row>
    <row r="16" spans="1:5" ht="12.75">
      <c r="A16" s="5" t="s">
        <v>229</v>
      </c>
      <c r="B16" s="2">
        <f>0.8951*(B6/B7)+0.2664*(B7/B7)-0.1614*(B8/B7)</f>
        <v>0.9414602299999999</v>
      </c>
      <c r="C16" s="2">
        <f>0.8951*(C6/C7)+0.2664*(C7/C7)-0.1614*(C8/C7)</f>
        <v>0.9414602299999999</v>
      </c>
      <c r="D16" s="2">
        <f>0.8951*(D6/D7)+0.2664*(D7/D7)-0.1614*(D8/D7)</f>
        <v>1.19224123</v>
      </c>
      <c r="E16" s="2">
        <f>0.8951*(E6/E7)+0.2664*(E7/E7)-0.1614*(E8/E7)</f>
        <v>1.19224123</v>
      </c>
    </row>
    <row r="17" spans="1:5" ht="12.75">
      <c r="A17" s="5" t="s">
        <v>230</v>
      </c>
      <c r="B17" s="2">
        <f>-0.7502*(B6/B7)+1.7135*(B7/B7)+0.0367*(B8/B7)</f>
        <v>1.0403938600000002</v>
      </c>
      <c r="C17" s="2">
        <f>-0.7502*(C6/C7)+1.7135*(C7/C7)+0.0367*(C8/C7)</f>
        <v>1.0403938600000002</v>
      </c>
      <c r="D17" s="2">
        <f>-0.7502*(D6/D7)+1.7135*(D7/D7)+0.0367*(D8/D7)</f>
        <v>0.90246316</v>
      </c>
      <c r="E17" s="2">
        <f>-0.7502*(E6/E7)+1.7135*(E7/E7)+0.0367*(E8/E7)</f>
        <v>0.90246316</v>
      </c>
    </row>
    <row r="18" spans="1:5" ht="12.75">
      <c r="A18" s="5" t="s">
        <v>231</v>
      </c>
      <c r="B18" s="2">
        <f>0.0389*(B6/B7)-0.0685*(B7/B7)+1.0296*(B8/B7)</f>
        <v>1.08950293</v>
      </c>
      <c r="C18" s="2">
        <f>0.0389*(C6/C7)-0.0685*(C7/C7)+1.0296*(C8/C7)</f>
        <v>1.08950293</v>
      </c>
      <c r="D18" s="2">
        <f>0.0389*(D6/D7)-0.0685*(D7/D7)+1.0296*(D8/D7)</f>
        <v>0.34056333000000005</v>
      </c>
      <c r="E18" s="2">
        <f>0.0389*(E6/E7)-0.0685*(E7/E7)+1.0296*(E8/E7)</f>
        <v>0.34056333000000005</v>
      </c>
    </row>
    <row r="19" spans="1:5" ht="12.75">
      <c r="A19" s="5" t="s">
        <v>203</v>
      </c>
      <c r="B19" s="2">
        <f>(B18/1)^0.0834</f>
        <v>1.0071747948820478</v>
      </c>
      <c r="C19" s="2">
        <f>(C18/1)^0.0834</f>
        <v>1.0071747948820478</v>
      </c>
      <c r="D19" s="2">
        <f>(D18/1)^0.0834</f>
        <v>0.9140823084533668</v>
      </c>
      <c r="E19" s="2">
        <f>(E18/1)^0.0834</f>
        <v>0.9140823084533668</v>
      </c>
    </row>
    <row r="20" spans="1:5" ht="12.75">
      <c r="A20" s="5" t="s">
        <v>232</v>
      </c>
      <c r="B20" s="2">
        <f>(B11*(1/B16)+1-B11)*B13</f>
        <v>0.9997971060336818</v>
      </c>
      <c r="C20" s="2">
        <f>(C11*(1/C16)+1-C11)*C13</f>
        <v>1.406517565280231</v>
      </c>
      <c r="D20" s="2">
        <f>(D11*(1/D16)+1-D11)*D13</f>
        <v>0.5836027594782217</v>
      </c>
      <c r="E20" s="2">
        <f>(E11*(1/E16)+1-E11)*E13</f>
        <v>0.8062589776424836</v>
      </c>
    </row>
    <row r="21" spans="1:5" ht="12.75">
      <c r="A21" s="5" t="s">
        <v>233</v>
      </c>
      <c r="B21" s="2">
        <f>(B11*(1/B17)+1-B11)*B14</f>
        <v>1.000123402611229</v>
      </c>
      <c r="C21" s="2">
        <f>(C11*(1/C17)+1-C11)*C14</f>
        <v>0.7208161763572742</v>
      </c>
      <c r="D21" s="2">
        <f>(D11*(1/D17)+1-D11)*D14</f>
        <v>1.4642270612051387</v>
      </c>
      <c r="E21" s="2">
        <f>(E11*(1/E17)+1-E11)*E14</f>
        <v>1.1405273615694616</v>
      </c>
    </row>
    <row r="22" spans="1:5" ht="12.75">
      <c r="A22" s="5" t="s">
        <v>234</v>
      </c>
      <c r="B22" s="2">
        <f>IF(B15&gt;=0,(B11*(1/B18^B19)+1-B11)*B15^B19,-(B11*(1/B18^B19)+1-B11)*(ABS(B15))^B19)</f>
        <v>1.000450135922818</v>
      </c>
      <c r="C22" s="2">
        <f>IF(C15&gt;=0,(C11*(1/C18^C19)+1-C11)*C15^C19,-(C11*(1/C18^C19)+1-C11)*(ABS(C15))^C19)</f>
        <v>0.6907556188472186</v>
      </c>
      <c r="D22" s="2">
        <f>IF(D15&gt;=0,(D11*(1/D18^D19)+1-D11)*D15^D19,-(D11*(1/D18^D19)+1-D11)*(ABS(D15))^D19)</f>
        <v>0.857215502271528</v>
      </c>
      <c r="E22" s="2">
        <f>IF(E15&gt;=0,(E11*(1/E18^E19)+1-E11)*E15^E19,-(E11*(1/E18^E19)+1-E11)*(ABS(E15))^E19)</f>
        <v>2.6967362559616928</v>
      </c>
    </row>
    <row r="23" spans="1:5" ht="12.75">
      <c r="A23" s="5" t="s">
        <v>238</v>
      </c>
      <c r="B23" s="1">
        <f>0.987*B20*B4-0.1471*B21*B4+0.16*B22*B4</f>
        <v>19.99507225757566</v>
      </c>
      <c r="C23" s="1">
        <f>0.987*C20*C4-0.1471*C21*C4+0.16*C22*C4</f>
        <v>59.97059538599879</v>
      </c>
      <c r="D23" s="1">
        <f>0.987*D20*D4-0.1471*D21*D4+0.16*D22*D4</f>
        <v>3.265453877419538</v>
      </c>
      <c r="E23" s="1">
        <f>0.987*E20*E4-0.1471*E21*E4+0.16*E22*E4</f>
        <v>21.189676740002685</v>
      </c>
    </row>
    <row r="24" spans="1:5" ht="12.75">
      <c r="A24" s="5" t="s">
        <v>239</v>
      </c>
      <c r="B24" s="1">
        <f>0.4323*B20*B4+0.5184*B21*B4+0.0493*B22*B4</f>
        <v>19.999969051060333</v>
      </c>
      <c r="C24" s="1">
        <f>0.4323*C20*C4+0.5184*C21*C4+0.0493*C22*C4</f>
        <v>43.73875053012538</v>
      </c>
      <c r="D24" s="1">
        <f>0.4323*D20*D4+0.5184*D21*D4+0.0493*D22*D4</f>
        <v>6.911665237478365</v>
      </c>
      <c r="E24" s="1">
        <f>0.4323*E20*E4+0.5184*E21*E4+0.0493*E22*E4</f>
        <v>21.45488475382732</v>
      </c>
    </row>
    <row r="25" spans="1:5" ht="12.75">
      <c r="A25" s="5" t="s">
        <v>240</v>
      </c>
      <c r="B25" s="1">
        <f>-0.0085*B20*B4+0.04*B21*B4+0.9685*B22*B4</f>
        <v>20.00885234688824</v>
      </c>
      <c r="C25" s="1">
        <f>-0.0085*C20*C4+0.04*C21*C4+0.9685*C22*C4</f>
        <v>29.533737221802607</v>
      </c>
      <c r="D25" s="1">
        <f>-0.0085*D20*D4+0.04*D21*D4+0.9685*D22*D4</f>
        <v>5.797870174503557</v>
      </c>
      <c r="E25" s="1">
        <f>-0.0085*E20*E4+0.04*E21*E4+0.9685*E22*E4</f>
        <v>53.01113914103434</v>
      </c>
    </row>
    <row r="26" spans="1:5" ht="12.75">
      <c r="A26" s="5" t="s">
        <v>263</v>
      </c>
      <c r="B26" s="2">
        <f>100*(B24/100)^(1.45*B12)</f>
        <v>44.70333450130812</v>
      </c>
      <c r="C26" s="2">
        <f>100*(C24/100)^(1.45*C12)</f>
        <v>66.12160743686722</v>
      </c>
      <c r="D26" s="2">
        <f>100*(D24/100)^(1.45*D12)</f>
        <v>26.272490475302178</v>
      </c>
      <c r="E26" s="2">
        <f>100*(E24/100)^(1.45*E12)</f>
        <v>46.30159741884158</v>
      </c>
    </row>
    <row r="27" spans="1:5" ht="12.75">
      <c r="A27" s="5" t="s">
        <v>117</v>
      </c>
      <c r="B27" s="2">
        <f>500*((B23/100)^B12-(B24/100)^B12)</f>
        <v>-0.024241612698816528</v>
      </c>
      <c r="C27" s="2">
        <f>500*((C23/100)^C12-(C24/100)^C12)</f>
        <v>43.24260519130374</v>
      </c>
      <c r="D27" s="2">
        <f>500*((D23/100)^D12-(D24/100)^D12)</f>
        <v>-45.335134999417384</v>
      </c>
      <c r="E27" s="2">
        <f>500*((E23/100)^E12-(E24/100)^E12)</f>
        <v>-1.2589043426958213</v>
      </c>
    </row>
    <row r="28" spans="1:5" ht="12.75">
      <c r="A28" s="5" t="s">
        <v>20</v>
      </c>
      <c r="B28" s="2">
        <f>200*((B24/100)^B12-(B25/100)^B12)</f>
        <v>-0.017586760341403718</v>
      </c>
      <c r="C28" s="2">
        <f>200*((C24/100)^C12-(C25/100)^C12)</f>
        <v>19.051220287058946</v>
      </c>
      <c r="D28" s="2">
        <f>200*((D24/100)^D12-(D25/100)^D12)</f>
        <v>4.679813185498771</v>
      </c>
      <c r="E28" s="2">
        <f>200*((E24/100)^E12-(E25/100)^E12)</f>
        <v>-43.07090409114205</v>
      </c>
    </row>
    <row r="29" spans="1:5" ht="12.75">
      <c r="A29" s="5" t="s">
        <v>264</v>
      </c>
      <c r="B29" s="2">
        <f>25*LN(1+0.05*SQRT(B27^2+B28^2))</f>
        <v>0.03740840111982185</v>
      </c>
      <c r="C29" s="2">
        <f>25*LN(1+0.05*SQRT(C27^2+C28^2))</f>
        <v>30.31833567206735</v>
      </c>
      <c r="D29" s="2">
        <f>25*LN(1+0.05*SQRT(D27^2+D28^2))</f>
        <v>29.68695151785604</v>
      </c>
      <c r="E29" s="2">
        <f>25*LN(1+0.05*SQRT(E27^2+E28^2))</f>
        <v>28.720472024404103</v>
      </c>
    </row>
    <row r="30" spans="1:5" ht="12.75">
      <c r="A30" s="5" t="s">
        <v>265</v>
      </c>
      <c r="B30" s="2">
        <f>B29/B26</f>
        <v>0.0008368145584022864</v>
      </c>
      <c r="C30" s="2">
        <f>C29/C26</f>
        <v>0.45852387513439136</v>
      </c>
      <c r="D30" s="2">
        <f>D29/D26</f>
        <v>1.1299633563770315</v>
      </c>
      <c r="E30" s="2">
        <f>E29/E26</f>
        <v>0.6202911697538288</v>
      </c>
    </row>
    <row r="31" spans="1:5" ht="12.75">
      <c r="A31" s="5" t="s">
        <v>266</v>
      </c>
      <c r="B31" s="1">
        <f>IF(B28&gt;=0,(360/(2*PI()))*ATAN2(B27,B28),360+(360/(2*PI()))*ATAN2(B27,B28))</f>
        <v>215.9600650188061</v>
      </c>
      <c r="C31" s="1">
        <f>IF(C28&gt;=0,(360/(2*PI()))*ATAN2(C27,C28),360+(360/(2*PI()))*ATAN2(C27,C28))</f>
        <v>23.776656780669764</v>
      </c>
      <c r="D31" s="1">
        <f>IF(D28&gt;=0,(360/(2*PI()))*ATAN2(D27,D28),360+(360/(2*PI()))*ATAN2(D27,D28))</f>
        <v>174.10639909590756</v>
      </c>
      <c r="E31" s="1">
        <f>IF(E28&gt;=0,(360/(2*PI()))*ATAN2(E27,E28),360+(360/(2*PI()))*ATAN2(E27,E28))</f>
        <v>268.32579842091803</v>
      </c>
    </row>
    <row r="32" spans="1:5" ht="12.75">
      <c r="A32" s="5" t="s">
        <v>267</v>
      </c>
      <c r="B32" s="2">
        <f>B29*COS(B31*(2*PI()/360))</f>
        <v>-0.030279350528134276</v>
      </c>
      <c r="C32" s="2">
        <f>C29*COS(C31*(2*PI()/360))</f>
        <v>27.745036696452548</v>
      </c>
      <c r="D32" s="2">
        <f>D29*COS(D31*(2*PI()/360))</f>
        <v>-29.53003494077132</v>
      </c>
      <c r="E32" s="2">
        <f>E29*COS(E31*(2*PI()/360))</f>
        <v>-0.8391022473361608</v>
      </c>
    </row>
    <row r="33" spans="1:5" ht="12.75">
      <c r="A33" s="5" t="s">
        <v>268</v>
      </c>
      <c r="B33" s="2">
        <f>B29*SIN(B31*(2*PI()/360))</f>
        <v>-0.02196700721390747</v>
      </c>
      <c r="C33" s="2">
        <f>C29*SIN(C31*(2*PI()/360))</f>
        <v>12.223518995635136</v>
      </c>
      <c r="D33" s="2">
        <f>D29*SIN(D31*(2*PI()/360))</f>
        <v>3.0482990044220095</v>
      </c>
      <c r="E33" s="2">
        <f>E29*SIN(E31*(2*PI()/360))</f>
        <v>-28.70821172980118</v>
      </c>
    </row>
    <row r="34" spans="1:5" ht="12.75">
      <c r="A34" s="5" t="s">
        <v>269</v>
      </c>
      <c r="B34" s="9">
        <f>IF(B31&gt;254,(B31-254)*(100/131),IF(B31&lt;25,(B31+106)*(100/131),IF(B31&lt;93,(93-B31)*(100/68),0)))</f>
        <v>0</v>
      </c>
      <c r="C34" s="9">
        <f>IF(C31&gt;254,(C31-254)*(100/131),IF(C31&lt;25,(C31+106)*(100/131),IF(C31&lt;93,(93-C31)*(100/68),0)))</f>
        <v>99.06615021425172</v>
      </c>
      <c r="D34" s="9">
        <f>IF(D31&gt;254,(D31-254)*(100/131),IF(D31&lt;25,(D31+106)*(100/131),IF(D31&lt;93,(93-D31)*(100/68),0)))</f>
        <v>0</v>
      </c>
      <c r="E34" s="9">
        <f>IF(E31&gt;254,(E31-254)*(100/131),IF(E31&lt;25,(E31+106)*(100/131),IF(E31&lt;93,(93-E31)*(100/68),0)))</f>
        <v>10.935723985433615</v>
      </c>
    </row>
    <row r="35" spans="1:5" ht="12.75">
      <c r="A35" s="5" t="s">
        <v>270</v>
      </c>
      <c r="B35" s="9">
        <f>IF(B31&lt;25,0,IF(B31&lt;=93,(B31-25)*(100/68),IF(B31&lt;165,(165-B31-93)*(100/72),0)))</f>
        <v>0</v>
      </c>
      <c r="C35" s="9">
        <f>IF(C31&lt;25,0,IF(C31&lt;=93,(C31-25)*(100/68),IF(C31&lt;165,(165-C31-93)*(100/72),0)))</f>
        <v>0</v>
      </c>
      <c r="D35" s="9">
        <f>IF(D31&lt;25,0,IF(D31&lt;=93,(D31-25)*(100/68),IF(D31&lt;165,(165-D31-93)*(100/72),0)))</f>
        <v>0</v>
      </c>
      <c r="E35" s="9">
        <f>IF(E31&lt;25,0,IF(E31&lt;=93,(E31-25)*(100/68),IF(E31&lt;165,(165-E31-93)*(100/72),0)))</f>
        <v>0</v>
      </c>
    </row>
    <row r="36" spans="1:5" ht="12.75">
      <c r="A36" s="5" t="s">
        <v>271</v>
      </c>
      <c r="B36" s="9">
        <f>IF(B31&lt;93,0,IF(B31&lt;=165,(B31-93)*(100/72),IF(B31&lt;254,(254-B31)*(100/89),0)))</f>
        <v>42.74149997886956</v>
      </c>
      <c r="C36" s="9">
        <f>IF(C31&lt;93,0,IF(C31&lt;=165,(C31-93)*(100/72),IF(C31&lt;254,(254-C31)*(100/89),0)))</f>
        <v>0</v>
      </c>
      <c r="D36" s="9">
        <f>IF(D31&lt;93,0,IF(D31&lt;=165,(D31-93)*(100/72),IF(D31&lt;254,(254-D31)*(100/89),0)))</f>
        <v>89.76809090347466</v>
      </c>
      <c r="E36" s="9">
        <f>IF(E31&lt;93,0,IF(E31&lt;=165,(E31-93)*(100/72),IF(E31&lt;254,(254-E31)*(100/89),0)))</f>
        <v>0</v>
      </c>
    </row>
    <row r="37" spans="1:5" ht="12.75">
      <c r="A37" s="5" t="s">
        <v>272</v>
      </c>
      <c r="B37" s="9">
        <f>IF(B31&gt;254,(360-B31+25)*(100/131),IF(B31&gt;165,(B31-165)*(100/89),IF(B31&lt;25,(25-B31)*(100/131))))</f>
        <v>57.258500021130445</v>
      </c>
      <c r="C37" s="9">
        <f>IF(C31&gt;254,(360-C31+25)*(100/131),IF(C31&gt;165,(C31-165)*(100/89),IF(C31&lt;25,(25-C31)*(100/131))))</f>
        <v>0.9338497857482715</v>
      </c>
      <c r="D37" s="9">
        <f>IF(D31&gt;254,(360-D31+25)*(100/131),IF(D31&gt;165,(D31-165)*(100/89),IF(D31&lt;25,(25-D31)*(100/131))))</f>
        <v>10.231909096525351</v>
      </c>
      <c r="E37" s="9">
        <f>IF(E31&gt;254,(360-E31+25)*(100/131),IF(E31&gt;165,(E31-165)*(100/89),IF(E31&lt;25,(25-E31)*(100/131))))</f>
        <v>89.06427601456639</v>
      </c>
    </row>
  </sheetData>
  <printOptions gridLines="1"/>
  <pageMargins left="0.75" right="0.75" top="1" bottom="1" header="0.5" footer="0.5"/>
  <pageSetup fitToHeight="1" fitToWidth="1"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E72"/>
  <sheetViews>
    <sheetView workbookViewId="0" topLeftCell="A40">
      <selection activeCell="B67" sqref="B67:B72"/>
    </sheetView>
  </sheetViews>
  <sheetFormatPr defaultColWidth="11.00390625" defaultRowHeight="12.75"/>
  <sheetData>
    <row r="1" ht="15.75">
      <c r="A1" s="8" t="s">
        <v>147</v>
      </c>
    </row>
    <row r="2" spans="1:5" ht="12.75">
      <c r="A2" s="5"/>
      <c r="B2" s="6" t="s">
        <v>274</v>
      </c>
      <c r="C2" s="6" t="s">
        <v>275</v>
      </c>
      <c r="D2" s="6" t="s">
        <v>276</v>
      </c>
      <c r="E2" s="6" t="s">
        <v>277</v>
      </c>
    </row>
    <row r="3" spans="1:5" ht="12.75">
      <c r="A3" s="5" t="s">
        <v>278</v>
      </c>
      <c r="B3" s="2">
        <v>19.01</v>
      </c>
      <c r="C3">
        <v>57.06</v>
      </c>
      <c r="D3">
        <v>3.53</v>
      </c>
      <c r="E3">
        <v>19.01</v>
      </c>
    </row>
    <row r="4" spans="1:5" ht="12.75">
      <c r="A4" s="5" t="s">
        <v>279</v>
      </c>
      <c r="B4" s="2">
        <v>20</v>
      </c>
      <c r="C4">
        <v>43.06</v>
      </c>
      <c r="D4">
        <v>6.56</v>
      </c>
      <c r="E4" s="2">
        <v>20</v>
      </c>
    </row>
    <row r="5" spans="1:5" ht="12.75">
      <c r="A5" s="5" t="s">
        <v>280</v>
      </c>
      <c r="B5" s="2">
        <v>21.78</v>
      </c>
      <c r="C5">
        <v>31.96</v>
      </c>
      <c r="D5">
        <v>2.14</v>
      </c>
      <c r="E5">
        <v>21.78</v>
      </c>
    </row>
    <row r="6" spans="1:5" ht="12.75">
      <c r="A6" s="5" t="s">
        <v>222</v>
      </c>
      <c r="B6" s="2">
        <v>95.05</v>
      </c>
      <c r="C6">
        <v>95.05</v>
      </c>
      <c r="D6">
        <v>109.85</v>
      </c>
      <c r="E6">
        <v>109.85</v>
      </c>
    </row>
    <row r="7" spans="1:5" ht="12.75">
      <c r="A7" s="5" t="s">
        <v>223</v>
      </c>
      <c r="B7" s="2">
        <v>100</v>
      </c>
      <c r="C7" s="2">
        <v>100</v>
      </c>
      <c r="D7" s="2">
        <v>100</v>
      </c>
      <c r="E7" s="2">
        <v>100</v>
      </c>
    </row>
    <row r="8" spans="1:5" ht="12.75">
      <c r="A8" s="5" t="s">
        <v>224</v>
      </c>
      <c r="B8" s="2">
        <v>108.88</v>
      </c>
      <c r="C8">
        <v>108.88</v>
      </c>
      <c r="D8">
        <v>35.58</v>
      </c>
      <c r="E8">
        <v>35.58</v>
      </c>
    </row>
    <row r="9" spans="1:5" ht="12.75">
      <c r="A9" s="5" t="s">
        <v>225</v>
      </c>
      <c r="B9" s="2">
        <v>318.30988618379</v>
      </c>
      <c r="C9" s="2">
        <v>31.830988618379067</v>
      </c>
      <c r="D9" s="2">
        <v>318.3098861837907</v>
      </c>
      <c r="E9" s="2">
        <v>31.830988618379067</v>
      </c>
    </row>
    <row r="10" spans="1:5" ht="12.75">
      <c r="A10" s="5" t="s">
        <v>226</v>
      </c>
      <c r="B10" s="1">
        <v>1</v>
      </c>
      <c r="C10" s="1">
        <v>1</v>
      </c>
      <c r="D10" s="1">
        <v>1</v>
      </c>
      <c r="E10" s="1">
        <v>1</v>
      </c>
    </row>
    <row r="11" spans="1:5" ht="12.75">
      <c r="A11" s="5" t="s">
        <v>130</v>
      </c>
      <c r="B11" s="3">
        <f>B10-(B10/(1+2*B9^(1/4)+(B9^2/300)))</f>
        <v>0.9971196917078387</v>
      </c>
      <c r="C11" s="3">
        <f>C10-(C10/(1+2*C9^(1/4)+(C9^2/300)))</f>
        <v>0.8904458703122895</v>
      </c>
      <c r="D11" s="3">
        <f>D10-(D10/(1+2*D9^(1/4)+(D9^2/300)))</f>
        <v>0.9971196917078387</v>
      </c>
      <c r="E11" s="3">
        <f>E10-(E10/(1+2*E9^(1/4)+(E9^2/300)))</f>
        <v>0.8904458703122895</v>
      </c>
    </row>
    <row r="12" spans="1:5" ht="12.75">
      <c r="A12" s="5" t="s">
        <v>54</v>
      </c>
      <c r="B12" s="1">
        <v>20</v>
      </c>
      <c r="C12" s="1">
        <v>20</v>
      </c>
      <c r="D12" s="1">
        <v>20</v>
      </c>
      <c r="E12" s="1">
        <v>20</v>
      </c>
    </row>
    <row r="13" spans="1:5" ht="12.75">
      <c r="A13" s="5" t="s">
        <v>227</v>
      </c>
      <c r="B13" s="2">
        <v>0.69</v>
      </c>
      <c r="C13" s="2">
        <v>0.69</v>
      </c>
      <c r="D13" s="2">
        <v>0.69</v>
      </c>
      <c r="E13" s="2">
        <v>0.69</v>
      </c>
    </row>
    <row r="14" spans="1:5" ht="12.75">
      <c r="A14" s="5" t="s">
        <v>55</v>
      </c>
      <c r="B14" s="1">
        <v>1</v>
      </c>
      <c r="C14" s="1">
        <v>1</v>
      </c>
      <c r="D14" s="1">
        <v>1</v>
      </c>
      <c r="E14" s="1">
        <v>1</v>
      </c>
    </row>
    <row r="15" spans="1:5" ht="12.75">
      <c r="A15" s="5" t="s">
        <v>70</v>
      </c>
      <c r="B15" s="3">
        <f>1/(5*B9+1)</f>
        <v>0.0006279239944363732</v>
      </c>
      <c r="C15" s="3">
        <f>1/(5*C9+1)</f>
        <v>0.0062439533909747</v>
      </c>
      <c r="D15" s="3">
        <f>1/(5*D9+1)</f>
        <v>0.0006279239944363717</v>
      </c>
      <c r="E15" s="3">
        <f>1/(5*E9+1)</f>
        <v>0.0062439533909747</v>
      </c>
    </row>
    <row r="16" spans="1:5" ht="12.75">
      <c r="A16" s="5" t="s">
        <v>71</v>
      </c>
      <c r="B16" s="2">
        <f>0.2*B15^4*5*B9+0.1*(1-B15^4)^2*(5*B9)^(1/3)</f>
        <v>1.1675443249898576</v>
      </c>
      <c r="C16" s="2">
        <f>0.2*C15^4*5*C9+0.1*(1-C15^4)^2*(5*C9)^(1/3)</f>
        <v>0.5419261168744008</v>
      </c>
      <c r="D16" s="2">
        <f>0.2*D15^4*5*D9+0.1*(1-D15^4)^2*(5*D9)^(1/3)</f>
        <v>1.1675443249898587</v>
      </c>
      <c r="E16" s="2">
        <f>0.2*E15^4*5*E9+0.1*(1-E15^4)^2*(5*E9)^(1/3)</f>
        <v>0.5419261168744008</v>
      </c>
    </row>
    <row r="17" spans="1:5" ht="12.75">
      <c r="A17" s="5" t="s">
        <v>23</v>
      </c>
      <c r="B17" s="2">
        <f>B12/B7</f>
        <v>0.2</v>
      </c>
      <c r="C17" s="2">
        <f>C12/C7</f>
        <v>0.2</v>
      </c>
      <c r="D17" s="2">
        <f>D12/D7</f>
        <v>0.2</v>
      </c>
      <c r="E17" s="2">
        <f>E12/E7</f>
        <v>0.2</v>
      </c>
    </row>
    <row r="18" spans="1:5" ht="12.75">
      <c r="A18" s="5" t="s">
        <v>58</v>
      </c>
      <c r="B18" s="2">
        <f>0.725*(1/B17)^0.2</f>
        <v>1.0003040045593807</v>
      </c>
      <c r="C18" s="2">
        <f>0.725*(1/C17)^0.2</f>
        <v>1.0003040045593807</v>
      </c>
      <c r="D18" s="2">
        <f>0.725*(1/D17)^0.2</f>
        <v>1.0003040045593807</v>
      </c>
      <c r="E18" s="2">
        <f>0.725*(1/E17)^0.2</f>
        <v>1.0003040045593807</v>
      </c>
    </row>
    <row r="19" spans="1:5" ht="12.75">
      <c r="A19" s="5" t="s">
        <v>57</v>
      </c>
      <c r="B19" s="2">
        <f>0.725*(1/B17)^0.2</f>
        <v>1.0003040045593807</v>
      </c>
      <c r="C19" s="2">
        <f>0.725*(1/C17)^0.2</f>
        <v>1.0003040045593807</v>
      </c>
      <c r="D19" s="2">
        <f>0.725*(1/D17)^0.2</f>
        <v>1.0003040045593807</v>
      </c>
      <c r="E19" s="2">
        <f>0.725*(1/E17)^0.2</f>
        <v>1.0003040045593807</v>
      </c>
    </row>
    <row r="20" spans="1:5" ht="12.75">
      <c r="A20" s="5" t="s">
        <v>123</v>
      </c>
      <c r="B20" s="2">
        <f>1+B17^(1/2)</f>
        <v>1.4472135954999579</v>
      </c>
      <c r="C20" s="2">
        <f>1+C17^(1/2)</f>
        <v>1.4472135954999579</v>
      </c>
      <c r="D20" s="2">
        <f>1+D17^(1/2)</f>
        <v>1.4472135954999579</v>
      </c>
      <c r="E20" s="2">
        <f>1+E17^(1/2)</f>
        <v>1.4472135954999579</v>
      </c>
    </row>
    <row r="21" spans="1:5" ht="12.75">
      <c r="A21" s="5" t="s">
        <v>18</v>
      </c>
      <c r="B21" s="2">
        <f>0.8562*B3+0.3372*B4-0.1934*B5</f>
        <v>18.80811</v>
      </c>
      <c r="C21" s="2">
        <f>0.8562*C3+0.3372*C4-0.1934*C5</f>
        <v>57.19354</v>
      </c>
      <c r="D21" s="2">
        <f>0.8562*D3+0.3372*D4-0.1934*D5</f>
        <v>4.820542</v>
      </c>
      <c r="E21" s="2">
        <f>0.8562*E3+0.3372*E4-0.1934*E5</f>
        <v>18.80811</v>
      </c>
    </row>
    <row r="22" spans="1:5" ht="12.75">
      <c r="A22" s="5" t="s">
        <v>19</v>
      </c>
      <c r="B22" s="2">
        <f>-0.836*B3+1.8327*B4+0.0033*B5</f>
        <v>20.833513999999997</v>
      </c>
      <c r="C22" s="2">
        <f>-0.836*C3+1.8327*C4+0.0033*C5</f>
        <v>31.31937000000001</v>
      </c>
      <c r="D22" s="2">
        <f>-0.836*D3+1.8327*D4+0.0033*D5</f>
        <v>9.078494</v>
      </c>
      <c r="E22" s="2">
        <f>-0.836*E3+1.8327*E4+0.0033*E5</f>
        <v>20.833513999999997</v>
      </c>
    </row>
    <row r="23" spans="1:5" ht="12.75">
      <c r="A23" s="5" t="s">
        <v>20</v>
      </c>
      <c r="B23" s="2">
        <f>0.0357*B3-0.0469*B4+1.0112*B5</f>
        <v>21.764593</v>
      </c>
      <c r="C23" s="2">
        <f>0.0357*C3-0.0469*C4+1.0112*C5</f>
        <v>32.335480000000004</v>
      </c>
      <c r="D23" s="2">
        <f>0.0357*D3-0.0469*D4+1.0112*D5</f>
        <v>1.9823250000000006</v>
      </c>
      <c r="E23" s="2">
        <f>0.0357*E3-0.0469*E4+1.0112*E5</f>
        <v>21.764593</v>
      </c>
    </row>
    <row r="24" spans="1:5" ht="12.75">
      <c r="A24" s="5" t="s">
        <v>229</v>
      </c>
      <c r="B24" s="2">
        <f>0.8562*B6+0.3372*B7-0.1934*B8</f>
        <v>94.044418</v>
      </c>
      <c r="C24" s="2">
        <f>0.8562*C6+0.3372*C7-0.1934*C8</f>
        <v>94.044418</v>
      </c>
      <c r="D24" s="2">
        <f>0.8562*D6+0.3372*D7-0.1934*D8</f>
        <v>120.89239799999999</v>
      </c>
      <c r="E24" s="2">
        <f>0.8562*E6+0.3372*E7-0.1934*E8</f>
        <v>120.89239799999999</v>
      </c>
    </row>
    <row r="25" spans="1:5" ht="12.75">
      <c r="A25" s="5" t="s">
        <v>230</v>
      </c>
      <c r="B25" s="2">
        <f>-0.836*B6+1.8327*B7+0.0033*B8</f>
        <v>104.16750400000001</v>
      </c>
      <c r="C25" s="2">
        <f>-0.836*C6+1.8327*C7+0.0033*C8</f>
        <v>104.16750400000001</v>
      </c>
      <c r="D25" s="2">
        <f>-0.836*D6+1.8327*D7+0.0033*D8</f>
        <v>91.55281400000001</v>
      </c>
      <c r="E25" s="2">
        <f>-0.836*E6+1.8327*E7+0.0033*E8</f>
        <v>91.55281400000001</v>
      </c>
    </row>
    <row r="26" spans="1:5" ht="12.75">
      <c r="A26" s="5" t="s">
        <v>231</v>
      </c>
      <c r="B26" s="2">
        <f>0.0357*B6-0.0469*B7+1.0112*B8</f>
        <v>108.802741</v>
      </c>
      <c r="C26" s="2">
        <f>0.0357*C6-0.0469*C7+1.0112*C8</f>
        <v>108.802741</v>
      </c>
      <c r="D26" s="2">
        <f>0.0357*D6-0.0469*D7+1.0112*D8</f>
        <v>35.210141</v>
      </c>
      <c r="E26" s="2">
        <f>0.0357*E6-0.0469*E7+1.0112*E8</f>
        <v>35.210141</v>
      </c>
    </row>
    <row r="27" spans="1:5" ht="12.75">
      <c r="A27" s="5" t="s">
        <v>232</v>
      </c>
      <c r="B27" s="2">
        <f>(B11*(100/B24)+1-B11)*B21</f>
        <v>19.99574676863916</v>
      </c>
      <c r="C27" s="2">
        <f>(C11*(100/C24)+1-C11)*C21</f>
        <v>60.41865858325338</v>
      </c>
      <c r="D27" s="2">
        <f>(D11*(100/D24)+1-D11)*D21</f>
        <v>3.989864470826402</v>
      </c>
      <c r="E27" s="2">
        <f>(E11*(100/E24)+1-E11)*E21</f>
        <v>15.913820437119487</v>
      </c>
    </row>
    <row r="28" spans="1:5" ht="12.75">
      <c r="A28" s="5" t="s">
        <v>233</v>
      </c>
      <c r="B28" s="2">
        <f>(B11*(100/B25)+1-B11)*B22</f>
        <v>20.002413412684994</v>
      </c>
      <c r="C28" s="2">
        <f>(C11*(100/C25)+1-C11)*C22</f>
        <v>30.203626645163645</v>
      </c>
      <c r="D28" s="2">
        <f>(D11*(100/D25)+1-D11)*D22</f>
        <v>9.913715112053366</v>
      </c>
      <c r="E28" s="2">
        <f>(E11*(100/E25)+1-E11)*E22</f>
        <v>22.54514606003396</v>
      </c>
    </row>
    <row r="29" spans="1:5" ht="12.75">
      <c r="A29" s="5" t="s">
        <v>234</v>
      </c>
      <c r="B29" s="2">
        <f>(B11*(100/B26)+1-B11)*B23</f>
        <v>20.008789417552745</v>
      </c>
      <c r="C29" s="2">
        <f>(C11*(100/C26)+1-C11)*C23</f>
        <v>30.005968151146302</v>
      </c>
      <c r="D29" s="2">
        <f>(D11*(100/D26)+1-D11)*D23</f>
        <v>5.619476754716072</v>
      </c>
      <c r="E29" s="2">
        <f>(E11*(100/E26)+1-E11)*E23</f>
        <v>57.42590728483216</v>
      </c>
    </row>
    <row r="30" spans="1:5" ht="12.75">
      <c r="A30" s="5" t="s">
        <v>235</v>
      </c>
      <c r="B30" s="2">
        <f>(B11*(100/B24)+1-B11)*B24</f>
        <v>99.98284608778077</v>
      </c>
      <c r="C30" s="2">
        <f>(C11*(100/C24)+1-C11)*C24</f>
        <v>99.3475413972062</v>
      </c>
      <c r="D30" s="2">
        <f>(D11*(100/D24)+1-D11)*D24</f>
        <v>100.06017654720253</v>
      </c>
      <c r="E30" s="2">
        <f>(E11*(100/E24)+1-E11)*E24</f>
        <v>102.28884847997926</v>
      </c>
    </row>
    <row r="31" spans="1:5" ht="12.75">
      <c r="A31" s="5" t="s">
        <v>236</v>
      </c>
      <c r="B31" s="2">
        <f>(B11*(100/B25)+1-B11)*B25</f>
        <v>100.01200369632883</v>
      </c>
      <c r="C31" s="2">
        <f>(C11*(100/C25)+1-C11)*C25</f>
        <v>100.45656727369004</v>
      </c>
      <c r="D31" s="2">
        <f>(D11*(100/D25)+1-D11)*D25</f>
        <v>99.97566950011876</v>
      </c>
      <c r="E31" s="2">
        <f>(E11*(100/E25)+1-E11)*E25</f>
        <v>99.07457588945977</v>
      </c>
    </row>
    <row r="32" spans="1:5" ht="12.75">
      <c r="A32" s="5" t="s">
        <v>237</v>
      </c>
      <c r="B32" s="2">
        <f>(B11*(100/B26)+1-B11)*B26</f>
        <v>100.02535460789605</v>
      </c>
      <c r="C32" s="2">
        <f>(C11*(100/C26)+1-C11)*C26</f>
        <v>100.9643766291213</v>
      </c>
      <c r="D32" s="2">
        <f>(D11*(100/D26)+1-D11)*D26</f>
        <v>99.81338523187432</v>
      </c>
      <c r="E32" s="2">
        <f>(E11*(100/E26)+1-E11)*E26</f>
        <v>92.90200338466552</v>
      </c>
    </row>
    <row r="33" spans="1:5" ht="12.75">
      <c r="A33" s="5" t="s">
        <v>238</v>
      </c>
      <c r="B33" s="1">
        <f>0.9874*B27-0.1768*B28+0.1894*B29</f>
        <v>19.997038383676095</v>
      </c>
      <c r="C33" s="1">
        <f>0.9874*C27-0.1768*C28+0.1894*C29</f>
        <v>60.00051266206657</v>
      </c>
      <c r="D33" s="1">
        <f>0.9874*D27-0.1768*D28+0.1894*D29</f>
        <v>3.251176244026179</v>
      </c>
      <c r="E33" s="1">
        <f>0.9874*E27-0.1768*E28+0.1894*E29</f>
        <v>22.60379131594499</v>
      </c>
    </row>
    <row r="34" spans="1:5" ht="12.75">
      <c r="A34" s="5" t="s">
        <v>239</v>
      </c>
      <c r="B34" s="1">
        <f>0.4504*B27+0.4649*B28+0.0846*B29</f>
        <v>19.997949924877293</v>
      </c>
      <c r="C34" s="1">
        <f>0.4504*C27+0.4649*C28+0.0846*C29</f>
        <v>43.79273475882088</v>
      </c>
      <c r="D34" s="1">
        <f>0.4504*D27+0.4649*D28+0.0846*D29</f>
        <v>6.8813288467028</v>
      </c>
      <c r="E34" s="1">
        <f>0.4504*E27+0.4649*E28+0.0846*E29</f>
        <v>22.507054884485203</v>
      </c>
    </row>
    <row r="35" spans="1:5" ht="12.75">
      <c r="A35" s="5" t="s">
        <v>240</v>
      </c>
      <c r="B35" s="1">
        <f>-0.0139*B27+0.0278*B28+0.9861*B29</f>
        <v>20.008793457437317</v>
      </c>
      <c r="C35" s="1">
        <f>-0.0139*C27+0.0278*C28+0.9861*C29</f>
        <v>29.588726660273696</v>
      </c>
      <c r="D35" s="1">
        <f>-0.0139*D27+0.0278*D28+0.9861*D29</f>
        <v>5.761508191796115</v>
      </c>
      <c r="E35" s="1">
        <f>-0.0139*E27+0.0278*E28+0.9861*E29</f>
        <v>57.03324012996597</v>
      </c>
    </row>
    <row r="36" spans="1:5" ht="12.75">
      <c r="A36" s="5" t="s">
        <v>241</v>
      </c>
      <c r="B36" s="1">
        <f>0.9874*B30-0.1768*B31+0.1894*B32</f>
        <v>99.98574213629931</v>
      </c>
      <c r="C36" s="1">
        <f>0.9874*C30-0.1768*C31+0.1894*C32</f>
        <v>99.45769421516857</v>
      </c>
      <c r="D36" s="1">
        <f>0.9874*D30-0.1768*D31+0.1894*D32</f>
        <v>100.02837511800378</v>
      </c>
      <c r="E36" s="1">
        <f>0.9874*E30-0.1768*E31+0.1894*E32</f>
        <v>101.07926341293069</v>
      </c>
    </row>
    <row r="37" spans="1:5" ht="12.75">
      <c r="A37" s="5" t="s">
        <v>242</v>
      </c>
      <c r="B37" s="1">
        <f>0.4504*B30+0.4649*B31+0.0846*B32</f>
        <v>99.98999939618776</v>
      </c>
      <c r="C37" s="1">
        <f>0.4504*C30+0.4649*C31+0.0846*C32</f>
        <v>99.98997703366383</v>
      </c>
      <c r="D37" s="1">
        <f>0.4504*D30+0.4649*D31+0.0846*D32</f>
        <v>99.9900046580818</v>
      </c>
      <c r="E37" s="1">
        <f>0.4504*E30+0.4649*E31+0.0846*E32</f>
        <v>99.99017717273522</v>
      </c>
    </row>
    <row r="38" spans="1:5" ht="12.75">
      <c r="A38" s="5" t="s">
        <v>243</v>
      </c>
      <c r="B38" s="1">
        <f>-0.0139*B30+0.0278*B31+0.9861*B32</f>
        <v>100.02557432098408</v>
      </c>
      <c r="C38" s="1">
        <f>-0.0139*C30+0.0278*C31+0.9861*C32</f>
        <v>100.97273353876393</v>
      </c>
      <c r="D38" s="1">
        <f>-0.0139*D30+0.0278*D31+0.9861*D32</f>
        <v>99.81446633524845</v>
      </c>
      <c r="E38" s="1">
        <f>-0.0139*E30+0.0278*E31+0.9861*E32</f>
        <v>92.94312375347394</v>
      </c>
    </row>
    <row r="39" spans="1:5" ht="12.75">
      <c r="A39" s="5" t="s">
        <v>244</v>
      </c>
      <c r="B39" s="1">
        <f>0.38971*B33+0.68898*B34-0.07868*B35</f>
        <v>19.996941498513202</v>
      </c>
      <c r="C39" s="1">
        <f>0.38971*C33+0.68898*C34-0.07868*C35</f>
        <v>51.22707717003604</v>
      </c>
      <c r="D39" s="1">
        <f>0.38971*D33+0.68898*D34-0.07868*D35</f>
        <v>5.5547983783302195</v>
      </c>
      <c r="E39" s="1">
        <f>0.38971*E33+0.68898*E34-0.07868*E35</f>
        <v>19.82845885462381</v>
      </c>
    </row>
    <row r="40" spans="1:5" ht="12.75">
      <c r="A40" s="5" t="s">
        <v>245</v>
      </c>
      <c r="B40" s="1">
        <f>-0.22981*B33+1.1834*B34+0.04641*B35</f>
        <v>19.99866265450685</v>
      </c>
      <c r="C40" s="1">
        <f>-0.22981*C33+1.1834*C34+0.04641*C35</f>
        <v>39.40881730302241</v>
      </c>
      <c r="D40" s="1">
        <f>-0.22981*D33+1.1834*D34+0.04641*D35</f>
        <v>7.663603339729695</v>
      </c>
      <c r="E40" s="1">
        <f>-0.22981*E33+1.1834*E34+0.04641*E35</f>
        <v>24.08718414241419</v>
      </c>
    </row>
    <row r="41" spans="1:5" ht="12.75">
      <c r="A41" s="5" t="s">
        <v>246</v>
      </c>
      <c r="B41" s="1">
        <f>B35</f>
        <v>20.008793457437317</v>
      </c>
      <c r="C41" s="1">
        <f>C35</f>
        <v>29.588726660273696</v>
      </c>
      <c r="D41" s="1">
        <f>D35</f>
        <v>5.761508191796115</v>
      </c>
      <c r="E41" s="1">
        <f>E35</f>
        <v>57.03324012996597</v>
      </c>
    </row>
    <row r="42" spans="1:5" ht="12.75">
      <c r="A42" s="5" t="s">
        <v>247</v>
      </c>
      <c r="B42" s="1">
        <f>0.38971*B36+0.68898*B37-0.07868*B38</f>
        <v>99.98654116434761</v>
      </c>
      <c r="C42" s="1">
        <f>0.38971*C36+0.68898*C37-0.07868*C38</f>
        <v>99.70621771441711</v>
      </c>
      <c r="D42" s="1">
        <f>0.38971*D36+0.68898*D37-0.07868*D38</f>
        <v>100.0197692653051</v>
      </c>
      <c r="E42" s="1">
        <f>0.38971*E36+0.68898*E37-0.07868*E38</f>
        <v>100.970067036201</v>
      </c>
    </row>
    <row r="43" spans="1:5" ht="12.75">
      <c r="A43" s="5" t="s">
        <v>248</v>
      </c>
      <c r="B43" s="1">
        <f>-0.22981*B36+1.1834*B37+0.04641*B38</f>
        <v>99.99262878934252</v>
      </c>
      <c r="C43" s="1">
        <f>-0.22981*C36+1.1834*C37+0.04641*C38</f>
        <v>100.15791067758393</v>
      </c>
      <c r="D43" s="1">
        <f>-0.22981*D36+1.1834*D37+0.04641*D38</f>
        <v>99.97304000912443</v>
      </c>
      <c r="E43" s="1">
        <f>-0.22981*E36+1.1834*E37+0.04641*E38</f>
        <v>99.41284051468797</v>
      </c>
    </row>
    <row r="44" spans="1:5" ht="12.75">
      <c r="A44" s="5" t="s">
        <v>249</v>
      </c>
      <c r="B44" s="1">
        <f>B38</f>
        <v>100.02557432098408</v>
      </c>
      <c r="C44" s="1">
        <f>C38</f>
        <v>100.97273353876393</v>
      </c>
      <c r="D44" s="1">
        <f>D38</f>
        <v>99.81446633524845</v>
      </c>
      <c r="E44" s="1">
        <f>E38</f>
        <v>92.94312375347394</v>
      </c>
    </row>
    <row r="45" spans="1:5" ht="12.75">
      <c r="A45" s="5" t="s">
        <v>250</v>
      </c>
      <c r="B45" s="1">
        <f>((40*(B16*B39/100)^0.73)/(((B16*B39/100)^0.73)+2))+1</f>
        <v>6.896356806640345</v>
      </c>
      <c r="C45" s="1">
        <f>((40*(C16*C39/100)^0.73)/(((C16*C39/100)^0.73)+2))+1</f>
        <v>7.560547867411832</v>
      </c>
      <c r="D45" s="1">
        <f>((40*(D16*D39/100)^0.73)/(((D16*D39/100)^0.73)+2))+1</f>
        <v>3.5423095292363143</v>
      </c>
      <c r="E45" s="1">
        <f>((40*(E16*E39/100)^0.73)/(((E16*E39/100)^0.73)+2))+1</f>
        <v>4.574180912084003</v>
      </c>
    </row>
    <row r="46" spans="1:5" ht="12.75">
      <c r="A46" s="5" t="s">
        <v>251</v>
      </c>
      <c r="B46" s="1">
        <f>((40*(B16*B40/100)^0.73)/(((B16*B40/100)^0.73)+2))+1</f>
        <v>6.896672666901262</v>
      </c>
      <c r="C46" s="1">
        <f>((40*(C16*C40/100)^0.73)/(((C16*C40/100)^0.73)+2))+1</f>
        <v>6.576751566641393</v>
      </c>
      <c r="D46" s="1">
        <f>((40*(D16*D40/100)^0.73)/(((D16*D40/100)^0.73)+2))+1</f>
        <v>4.162334277315706</v>
      </c>
      <c r="E46" s="1">
        <f>((40*(E16*E40/100)^0.73)/(((E16*E40/100)^0.73)+2))+1</f>
        <v>5.064219451588481</v>
      </c>
    </row>
    <row r="47" spans="1:5" ht="12.75">
      <c r="A47" s="5" t="s">
        <v>252</v>
      </c>
      <c r="B47" s="1">
        <f>((40*(B16*B41/100)^0.73)/(((B16*B41/100)^0.73)+2))+1</f>
        <v>6.8985315675846275</v>
      </c>
      <c r="C47" s="1">
        <f>((40*(C16*C41/100)^0.73)/(((C16*C41/100)^0.73)+2))+1</f>
        <v>5.646262836305346</v>
      </c>
      <c r="D47" s="1">
        <f>((40*(D16*D41/100)^0.73)/(((D16*D41/100)^0.73)+2))+1</f>
        <v>3.606552578645132</v>
      </c>
      <c r="E47" s="1">
        <f>((40*(E16*E41/100)^0.73)/(((E16*E41/100)^0.73)+2))+1</f>
        <v>8.001803799748382</v>
      </c>
    </row>
    <row r="48" spans="1:5" ht="12.75">
      <c r="A48" s="5" t="s">
        <v>253</v>
      </c>
      <c r="B48" s="1">
        <f>((40*(B16*B42/100)^0.73)/(((B16*B42/100)^0.73)+2))+1</f>
        <v>15.355771468494334</v>
      </c>
      <c r="C48" s="1">
        <f>((40*(C16*C42/100)^0.73)/(((C16*C42/100)^0.73)+2))+1</f>
        <v>10.674380792716935</v>
      </c>
      <c r="D48" s="1">
        <f>((40*(D16*D42/100)^0.73)/(((D16*D42/100)^0.73)+2))+1</f>
        <v>15.358003938992322</v>
      </c>
      <c r="E48" s="1">
        <f>((40*(E16*E42/100)^0.73)/(((E16*E42/100)^0.73)+2))+1</f>
        <v>10.741982820613595</v>
      </c>
    </row>
    <row r="49" spans="1:5" ht="12.75">
      <c r="A49" s="5" t="s">
        <v>254</v>
      </c>
      <c r="B49" s="1">
        <f>((40*(B16*B43/100)^0.73)/(((B16*B43/100)^0.73)+2))+1</f>
        <v>15.35618051707761</v>
      </c>
      <c r="C49" s="1">
        <f>((40*(C16*C43/100)^0.73)/(((C16*C43/100)^0.73)+2))+1</f>
        <v>10.698602492024532</v>
      </c>
      <c r="D49" s="1">
        <f>((40*(D16*D43/100)^0.73)/(((D16*D43/100)^0.73)+2))+1</f>
        <v>15.354864208605926</v>
      </c>
      <c r="E49" s="1">
        <f>((40*(E16*E43/100)^0.73)/(((E16*E43/100)^0.73)+2))+1</f>
        <v>10.658612005182688</v>
      </c>
    </row>
    <row r="50" spans="1:5" ht="12.75">
      <c r="A50" s="5" t="s">
        <v>255</v>
      </c>
      <c r="B50" s="1">
        <f>((40*(B16*B44/100)^0.73)/(((B16*B44/100)^0.73)+2))+1</f>
        <v>15.358393898308233</v>
      </c>
      <c r="C50" s="1">
        <f>((40*(C16*C44/100)^0.73)/(((C16*C44/100)^0.73)+2))+1</f>
        <v>10.74212488867905</v>
      </c>
      <c r="D50" s="1">
        <f>((40*(D16*D44/100)^0.73)/(((D16*D44/100)^0.73)+2))+1</f>
        <v>15.344200979488619</v>
      </c>
      <c r="E50" s="1">
        <f>((40*(E16*E44/100)^0.73)/(((E16*E44/100)^0.73)+2))+1</f>
        <v>10.303292291461169</v>
      </c>
    </row>
    <row r="51" spans="1:5" ht="12.75">
      <c r="A51" s="5" t="s">
        <v>256</v>
      </c>
      <c r="B51" s="2">
        <f>B45-12*B46/11+B47/11</f>
        <v>-0.0001468692897031998</v>
      </c>
      <c r="C51" s="2">
        <f>C45-12*C46/11+C47/11</f>
        <v>0.8992064161944339</v>
      </c>
      <c r="D51" s="2">
        <f>D45-12*D46/11+D47/11</f>
        <v>-0.6705503570494442</v>
      </c>
      <c r="E51" s="2">
        <f>E45-12*E46/11+E47/11</f>
        <v>-0.22298541694448626</v>
      </c>
    </row>
    <row r="52" spans="1:5" ht="12.75">
      <c r="A52" s="5" t="s">
        <v>257</v>
      </c>
      <c r="B52" s="2">
        <f>(1/9)*(B45+B46-2*B47)</f>
        <v>-0.0004481846252942666</v>
      </c>
      <c r="C52" s="2">
        <f>(1/9)*(C45+C46-2*C47)</f>
        <v>0.31608597349361484</v>
      </c>
      <c r="D52" s="2">
        <f>(1/9)*(D45+D46-2*D47)</f>
        <v>0.05461540547352851</v>
      </c>
      <c r="E52" s="2">
        <f>(1/9)*(E45+E46-2*E47)</f>
        <v>-0.7072452484249199</v>
      </c>
    </row>
    <row r="53" spans="1:5" ht="12.75">
      <c r="A53" s="5" t="s">
        <v>258</v>
      </c>
      <c r="B53" s="1">
        <f>IF(B52&gt;=0,(360/(2*PI()))*ATAN2(B51,B52),360+(360/(2*PI()))*ATAN2(B51,B52))</f>
        <v>251.85612377619606</v>
      </c>
      <c r="C53" s="1">
        <f>IF(C52&gt;=0,(360/(2*PI()))*ATAN2(C51,C52),360+(360/(2*PI()))*ATAN2(C51,C52))</f>
        <v>19.367420923683355</v>
      </c>
      <c r="D53" s="1">
        <f>IF(D52&gt;=0,(360/(2*PI()))*ATAN2(D51,D52),360+(360/(2*PI()))*ATAN2(D51,D52))</f>
        <v>175.3436159405704</v>
      </c>
      <c r="E53" s="1">
        <f>IF(E52&gt;=0,(360/(2*PI()))*ATAN2(E51,E52),360+(360/(2*PI()))*ATAN2(E51,E52))</f>
        <v>252.5006007969928</v>
      </c>
    </row>
    <row r="54" spans="1:5" ht="12.75">
      <c r="A54" s="5" t="s">
        <v>32</v>
      </c>
      <c r="B54" s="1">
        <f>IF(B53&lt;20.14,385.9+(14.1*(B53)/0.856)/((B53)/0.856+(20.14-B53)/0.8),IF(B53&lt;90,(100*(B53-20.14)/0.8)/((B53-20.14)/0.8+(90-B53)/0.7),IF(B53&lt;164.25,100+(100*(B53-90)/0.7)/((B53-90)/0.7+(164.25-B53)/1),IF(B53&lt;237.53,200+(100*(B53-164.25)/1)/((B53-164.25)/1+(237.53-B53)/1.2),300+(85.9*(B53-237.53)/1.2)/((B53-237.53)/1.2+(360-B53)/0.856)))))</f>
        <v>307.4164788889613</v>
      </c>
      <c r="C54" s="1">
        <f>IF(C53&lt;20.14,385.9+(14.1*(C53)/0.856)/((C53)/0.856+(20.14-C53)/0.8),IF(C53&lt;90,(100*(C53-20.14)/0.8)/((C53-20.14)/0.8+(90-C53)/0.7),IF(C53&lt;164.25,100+(100*(C53-90)/0.7)/((C53-90)/0.7+(164.25-C53)/1),IF(C53&lt;237.53,200+(100*(C53-164.25)/1)/((C53-164.25)/1+(237.53-C53)/1.2),300+(85.9*(C53-237.53)/1.2)/((C53-237.53)/1.2+(360-C53)/0.856)))))</f>
        <v>399.42280607903933</v>
      </c>
      <c r="D54" s="1">
        <f>IF(D53&lt;20.14,385.9+(14.1*(D53)/0.856)/((D53)/0.856+(20.14-D53)/0.8),IF(D53&lt;90,(100*(D53-20.14)/0.8)/((D53-20.14)/0.8+(90-D53)/0.7),IF(D53&lt;164.25,100+(100*(D53-90)/0.7)/((D53-90)/0.7+(164.25-D53)/1),IF(D53&lt;237.53,200+(100*(D53-164.25)/1)/((D53-164.25)/1+(237.53-D53)/1.2),300+(85.9*(D53-237.53)/1.2)/((D53-237.53)/1.2+(360-D53)/0.856)))))</f>
        <v>217.63253544767267</v>
      </c>
      <c r="E54" s="1">
        <f>IF(E53&lt;20.14,385.9+(14.1*(E53)/0.856)/((E53)/0.856+(20.14-E53)/0.8),IF(E53&lt;90,(100*(E53-20.14)/0.8)/((E53-20.14)/0.8+(90-E53)/0.7),IF(E53&lt;164.25,100+(100*(E53-90)/0.7)/((E53-90)/0.7+(164.25-E53)/1),IF(E53&lt;237.53,200+(100*(E53-164.25)/1)/((E53-164.25)/1+(237.53-E53)/1.2),300+(85.9*(E53-237.53)/1.2)/((E53-237.53)/1.2+(360-E53)/0.856)))))</f>
        <v>307.7622335254743</v>
      </c>
    </row>
    <row r="55" spans="1:5" ht="12.75">
      <c r="A55" s="5" t="s">
        <v>33</v>
      </c>
      <c r="B55" s="9">
        <f>IF(B54&gt;300,B54-300,IF(B54&lt;100,100-B54,0))</f>
        <v>7.416478888961308</v>
      </c>
      <c r="C55" s="9">
        <f>IF(C54&gt;300,C54-300,IF(C54&lt;100,100-C54,0))</f>
        <v>99.42280607903933</v>
      </c>
      <c r="D55" s="9">
        <f>IF(D54&gt;300,D54-300,IF(D54&lt;100,100-D54,0))</f>
        <v>0</v>
      </c>
      <c r="E55" s="9">
        <f>IF(E54&gt;300,E54-300,IF(E54&lt;100,100-E54,0))</f>
        <v>7.762233525474301</v>
      </c>
    </row>
    <row r="56" spans="1:5" ht="12.75">
      <c r="A56" s="5" t="s">
        <v>34</v>
      </c>
      <c r="B56" s="9">
        <f>IF(B54&lt;=100,B54,IF(B54&lt;200,200-B54,0))</f>
        <v>0</v>
      </c>
      <c r="C56" s="9">
        <f>IF(C54&lt;=100,C54,IF(C54&lt;200,200-C54,0))</f>
        <v>0</v>
      </c>
      <c r="D56" s="9">
        <f>IF(D54&lt;=100,D54,IF(D54&lt;200,200-D54,0))</f>
        <v>0</v>
      </c>
      <c r="E56" s="9">
        <f>IF(E54&lt;=100,E54,IF(E54&lt;200,200-E54,0))</f>
        <v>0</v>
      </c>
    </row>
    <row r="57" spans="1:5" ht="12.75">
      <c r="A57" s="5" t="s">
        <v>35</v>
      </c>
      <c r="B57" s="9">
        <f>IF(B54&gt;100,IF(B54&lt;=200,B54-100,IF(B54&lt;300,300-B54,0)),0)</f>
        <v>0</v>
      </c>
      <c r="C57" s="9">
        <f>IF(C54&gt;100,IF(C54&lt;=200,C54-100,IF(C54&lt;300,300-C54,0)),0)</f>
        <v>0</v>
      </c>
      <c r="D57" s="9">
        <f>IF(D54&gt;100,IF(D54&lt;=200,D54-100,IF(D54&lt;300,300-D54,0)),0)</f>
        <v>82.36746455232733</v>
      </c>
      <c r="E57" s="9">
        <f>IF(E54&gt;100,IF(E54&lt;=200,E54-100,IF(E54&lt;300,300-E54,0)),0)</f>
        <v>0</v>
      </c>
    </row>
    <row r="58" spans="1:5" ht="12.75">
      <c r="A58" s="5" t="s">
        <v>36</v>
      </c>
      <c r="B58" s="9">
        <f>IF(B54&gt;300,400-B54,IF(B54&gt;200,B54-200,0))</f>
        <v>92.58352111103869</v>
      </c>
      <c r="C58" s="9">
        <f>IF(C54&gt;300,400-C54,IF(C54&gt;200,C54-200,0))</f>
        <v>0.5771939209606671</v>
      </c>
      <c r="D58" s="9">
        <f>IF(D54&gt;300,400-D54,IF(D54&gt;200,D54-200,0))</f>
        <v>17.632535447672666</v>
      </c>
      <c r="E58" s="9">
        <f>IF(E54&gt;300,400-E54,IF(E54&gt;200,E54-200,0))</f>
        <v>92.2377664745257</v>
      </c>
    </row>
    <row r="59" spans="1:5" ht="12.75">
      <c r="A59" s="5" t="s">
        <v>259</v>
      </c>
      <c r="B59" s="2">
        <f>IF(B53&lt;20.14,0.856-(B53/20.14)*0.056,IF(B53&lt;90,0.7+0.1*(90-B53)/(90-20.14),IF(B53&lt;164.25,1-0.3*(164.25-B53)/(164.25-90),IF(B53&lt;237.53,1.2-0.2*(237.53-B53)/(237.53-164.25),0.856+0.344*(360-B53)/(360-237.53)))))</f>
        <v>1.1597600507960197</v>
      </c>
      <c r="C59" s="2">
        <f>IF(C53&lt;20.14,0.856-(C53/20.14)*0.056,IF(C53&lt;90,0.7+0.1*(90-C53)/(90-20.14),IF(C53&lt;164.25,1-0.3*(164.25-C53)/(164.25-90),IF(C53&lt;237.53,1.2-0.2*(237.53-C53)/(237.53-164.25),0.856+0.344*(360-C53)/(360-237.53)))))</f>
        <v>0.8021481841248129</v>
      </c>
      <c r="D59" s="2">
        <f>IF(D53&lt;20.14,0.856-(D53/20.14)*0.056,IF(D53&lt;90,0.7+0.1*(90-D53)/(90-20.14),IF(D53&lt;164.25,1-0.3*(164.25-D53)/(164.25-90),IF(D53&lt;237.53,1.2-0.2*(237.53-D53)/(237.53-164.25),0.856+0.344*(360-D53)/(360-237.53)))))</f>
        <v>1.0302773360823427</v>
      </c>
      <c r="E59" s="2">
        <f>IF(E53&lt;20.14,0.856-(E53/20.14)*0.056,IF(E53&lt;90,0.7+0.1*(90-E53)/(90-20.14),IF(E53&lt;164.25,1-0.3*(164.25-E53)/(164.25-90),IF(E53&lt;237.53,1.2-0.2*(237.53-E53)/(237.53-164.25),0.856+0.344*(360-E53)/(360-237.53)))))</f>
        <v>1.157949810776798</v>
      </c>
    </row>
    <row r="60" spans="1:5" ht="12.75">
      <c r="A60" s="5" t="s">
        <v>117</v>
      </c>
      <c r="B60" s="2">
        <f>(2*B45+B46+(1/20)*B47-3.05)*B18</f>
        <v>17.989780171667512</v>
      </c>
      <c r="C60" s="2">
        <f>(2*C45+C46+(1/20)*C47-3.05)*C18</f>
        <v>18.935915298364886</v>
      </c>
      <c r="D60" s="2">
        <f>(2*D45+D46+(1/20)*D47-3.05)*D18</f>
        <v>8.379827696329079</v>
      </c>
      <c r="E60" s="2">
        <f>(2*E45+E46+(1/20)*E47-3.05)*E18</f>
        <v>11.566186570588116</v>
      </c>
    </row>
    <row r="61" spans="1:5" ht="12.75">
      <c r="A61" s="5" t="s">
        <v>260</v>
      </c>
      <c r="B61" s="2">
        <f>(2*B48+B49+(1/20)*B50-3.05)*B18</f>
        <v>43.7989541841344</v>
      </c>
      <c r="C61" s="2">
        <f>(2*C48+C49+(1/20)*C50-3.05)*C18</f>
        <v>29.543448935529103</v>
      </c>
      <c r="D61" s="2">
        <f>(2*D48+D49+(1/20)*D50-3.05)*D18</f>
        <v>43.80139391218076</v>
      </c>
      <c r="E61" s="2">
        <f>(2*E48+E49+(1/20)*E50-3.05)*E18</f>
        <v>29.616743149623243</v>
      </c>
    </row>
    <row r="62" spans="1:5" ht="12.75">
      <c r="A62" s="5" t="s">
        <v>124</v>
      </c>
      <c r="B62" s="2">
        <f>100*(B60/B61)^(B13*B20)</f>
        <v>41.12556425811616</v>
      </c>
      <c r="C62" s="2">
        <f>100*(C60/C61)^(C13*C20)</f>
        <v>64.13571232804392</v>
      </c>
      <c r="D62" s="2">
        <f>100*(D60/D61)^(D13*D20)</f>
        <v>19.17648290439647</v>
      </c>
      <c r="E62" s="2">
        <f>100*(E60/E61)^(E13*E20)</f>
        <v>39.10513746907248</v>
      </c>
    </row>
    <row r="63" spans="1:5" ht="12.75">
      <c r="A63" s="5" t="s">
        <v>24</v>
      </c>
      <c r="B63" s="2">
        <f>(1.24/B13)*(B62/100)^0.67*(B61+3)^0.9</f>
        <v>31.567492090096536</v>
      </c>
      <c r="C63" s="2">
        <f>(1.24/C13)*(C62/100)^0.67*(C61+3)^0.9</f>
        <v>30.65820770427772</v>
      </c>
      <c r="D63" s="2">
        <f>(1.24/D13)*(D62/100)^0.67*(D61+3)^0.9</f>
        <v>18.93479926327977</v>
      </c>
      <c r="E63" s="2">
        <f>(1.24/E13)*(E62/100)^0.67*(E61+3)^0.9</f>
        <v>22.052903956356012</v>
      </c>
    </row>
    <row r="64" spans="1:5" ht="12.75">
      <c r="A64" s="5" t="s">
        <v>108</v>
      </c>
      <c r="B64" s="2">
        <f>(50*(B51^2+B52^2)^(1/2)*100*B59*(10/13)*B14*B19)/(B45+B46+(21/20)*B47)</f>
        <v>0.10003686289429907</v>
      </c>
      <c r="C64" s="2">
        <f>(50*(C51^2+C52^2)^(1/2)*100*C59*(10/13)*C14*C19)/(C45+C46+(21/20)*C47)</f>
        <v>146.59307027448486</v>
      </c>
      <c r="D64" s="2">
        <f>(50*(D51^2+D52^2)^(1/2)*100*D59*(10/13)*D14*D19)/(D45+D46+(21/20)*D47)</f>
        <v>232.06109989560505</v>
      </c>
      <c r="E64" s="2">
        <f>(50*(E51^2+E52^2)^(1/2)*100*E59*(10/13)*E14*E19)/(E45+E46+(21/20)*E47)</f>
        <v>183.12763093848724</v>
      </c>
    </row>
    <row r="65" spans="1:5" ht="12.75">
      <c r="A65" s="5" t="s">
        <v>43</v>
      </c>
      <c r="B65" s="2">
        <f>0.7487*B64^0.973*(B62/100)^(0.945*B17)*(1.64-0.29^B17)^1.41</f>
        <v>0.054410256115242216</v>
      </c>
      <c r="C65" s="2">
        <f>0.7487*C64^0.973*(C62/100)^(0.945*C17)*(1.64-0.29^C17)^1.41</f>
        <v>71.22429315240126</v>
      </c>
      <c r="D65" s="2">
        <f>0.7487*D64^0.973*(D62/100)^(0.945*D17)*(1.64-0.29^D17)^1.41</f>
        <v>88.64052109454694</v>
      </c>
      <c r="E65" s="2">
        <f>0.7487*E64^0.973*(E62/100)^(0.945*E17)*(1.64-0.29^E17)^1.41</f>
        <v>80.54704242559687</v>
      </c>
    </row>
    <row r="66" spans="1:5" ht="12.75">
      <c r="A66" s="5" t="s">
        <v>46</v>
      </c>
      <c r="B66" s="2">
        <f>B65*B16^0.15</f>
        <v>0.055689302284198494</v>
      </c>
      <c r="C66" s="2">
        <f>C65*C16^0.15</f>
        <v>64.97094148107817</v>
      </c>
      <c r="D66" s="2">
        <f>D65*D16^0.15</f>
        <v>90.72423337629283</v>
      </c>
      <c r="E66" s="2">
        <f>E65*E16^0.15</f>
        <v>73.4751718589845</v>
      </c>
    </row>
    <row r="67" spans="1:5" ht="12.75">
      <c r="A67" s="5" t="s">
        <v>148</v>
      </c>
      <c r="B67" s="2">
        <f>B65*COS(PI()*B$53/180)</f>
        <v>-0.016943583841375773</v>
      </c>
      <c r="C67" s="2">
        <f>C65*COS(PI()*C$53/180)</f>
        <v>67.19380842969694</v>
      </c>
      <c r="D67" s="2">
        <f>D65*COS(PI()*D$53/180)</f>
        <v>-88.3479606664411</v>
      </c>
      <c r="E67" s="2">
        <f>E65*COS(PI()*E$53/180)</f>
        <v>-24.22015727287593</v>
      </c>
    </row>
    <row r="68" spans="1:5" ht="12.75">
      <c r="A68" s="5" t="s">
        <v>149</v>
      </c>
      <c r="B68" s="2">
        <f>B65*SIN(PI()*B$53/180)</f>
        <v>-0.05170484442619011</v>
      </c>
      <c r="C68" s="2">
        <f>C65*SIN(PI()*C$53/180)</f>
        <v>23.619738435731698</v>
      </c>
      <c r="D68" s="2">
        <f>D65*SIN(PI()*D$53/180)</f>
        <v>7.19582003622926</v>
      </c>
      <c r="E68" s="2">
        <f>E65*SIN(PI()*E$53/180)</f>
        <v>-76.81933366795144</v>
      </c>
    </row>
    <row r="69" spans="1:5" ht="12.75">
      <c r="A69" s="5" t="s">
        <v>142</v>
      </c>
      <c r="B69" s="2">
        <f>B66*COS(PI()*B$53/180)</f>
        <v>-0.017341884227148635</v>
      </c>
      <c r="C69" s="2">
        <f>C66*COS(PI()*C$53/180)</f>
        <v>61.294325322896285</v>
      </c>
      <c r="D69" s="2">
        <f>D66*COS(PI()*D$53/180)</f>
        <v>-90.42479559965982</v>
      </c>
      <c r="E69" s="2">
        <f>E66*COS(PI()*E$53/180)</f>
        <v>-22.093675502983622</v>
      </c>
    </row>
    <row r="70" spans="1:5" ht="12.75">
      <c r="A70" s="5" t="s">
        <v>150</v>
      </c>
      <c r="B70" s="2">
        <f>B66*SIN(PI()*B$53/180)</f>
        <v>-0.052920293275387366</v>
      </c>
      <c r="C70" s="2">
        <f>C66*SIN(PI()*C$53/180)</f>
        <v>21.54597224885986</v>
      </c>
      <c r="D70" s="2">
        <f>D66*SIN(PI()*D$53/180)</f>
        <v>7.364975388675021</v>
      </c>
      <c r="E70" s="2">
        <f>E66*SIN(PI()*E$53/180)</f>
        <v>-70.07474853666025</v>
      </c>
    </row>
    <row r="71" spans="1:5" ht="12.75">
      <c r="A71" s="5" t="s">
        <v>151</v>
      </c>
      <c r="B71" s="2">
        <f>B64*COS(PI()*B$53/180)</f>
        <v>-0.03115190213565169</v>
      </c>
      <c r="C71" s="2">
        <f>C64*COS(PI()*C$53/180)</f>
        <v>138.29757018533147</v>
      </c>
      <c r="D71" s="2">
        <f>D64*COS(PI()*D$53/180)</f>
        <v>-231.29517598299904</v>
      </c>
      <c r="E71" s="2">
        <f>E64*COS(PI()*E$53/180)</f>
        <v>-55.065709289529806</v>
      </c>
    </row>
    <row r="72" spans="1:5" ht="12.75">
      <c r="A72" s="5" t="s">
        <v>152</v>
      </c>
      <c r="B72" s="2">
        <f>B64*SIN(PI()*B$53/180)</f>
        <v>-0.09506278415375582</v>
      </c>
      <c r="C72" s="2">
        <f>C64*SIN(PI()*C$53/180)</f>
        <v>48.61389033325118</v>
      </c>
      <c r="D72" s="2">
        <f>D64*SIN(PI()*D$53/180)</f>
        <v>18.838674362902893</v>
      </c>
      <c r="E72" s="2">
        <f>E64*SIN(PI()*E$53/180)</f>
        <v>-174.65250319873397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D. Fairchild</dc:creator>
  <cp:keywords/>
  <dc:description/>
  <cp:lastModifiedBy>Mark Fairchild</cp:lastModifiedBy>
  <cp:lastPrinted>1998-09-04T16:06:06Z</cp:lastPrinted>
  <cp:category/>
  <cp:version/>
  <cp:contentType/>
  <cp:contentStatus/>
</cp:coreProperties>
</file>